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90" yWindow="45" windowWidth="9300" windowHeight="4575"/>
  </bookViews>
  <sheets>
    <sheet name="Input" sheetId="1" r:id="rId1"/>
    <sheet name="Calculations" sheetId="2" r:id="rId2"/>
    <sheet name="Continuation" sheetId="3" r:id="rId3"/>
  </sheets>
  <definedNames>
    <definedName name="_xlnm.Print_Area" localSheetId="1">Calculations!$A$1:$L$418</definedName>
    <definedName name="_xlnm.Print_Area" localSheetId="0">Input!$A$1:$H$155</definedName>
  </definedNames>
  <calcPr calcId="125725"/>
</workbook>
</file>

<file path=xl/calcChain.xml><?xml version="1.0" encoding="utf-8"?>
<calcChain xmlns="http://schemas.openxmlformats.org/spreadsheetml/2006/main">
  <c r="D400" i="2"/>
  <c r="C241" l="1"/>
  <c r="C240"/>
  <c r="C237"/>
  <c r="C236"/>
  <c r="C359" l="1"/>
  <c r="F358"/>
  <c r="G358" s="1"/>
  <c r="F363"/>
  <c r="H364" s="1"/>
  <c r="F353"/>
  <c r="H360" l="1"/>
  <c r="H358"/>
  <c r="H359"/>
  <c r="C366" l="1"/>
  <c r="I54"/>
  <c r="I56"/>
  <c r="I55"/>
  <c r="I53"/>
  <c r="I52"/>
  <c r="I51"/>
  <c r="I50"/>
  <c r="I49"/>
  <c r="I48"/>
  <c r="I47"/>
  <c r="I46"/>
  <c r="I45"/>
  <c r="I44"/>
  <c r="H56"/>
  <c r="H55"/>
  <c r="H54"/>
  <c r="H53"/>
  <c r="H52"/>
  <c r="H51"/>
  <c r="H50"/>
  <c r="H49"/>
  <c r="H48"/>
  <c r="H47"/>
  <c r="H46"/>
  <c r="H45"/>
  <c r="H44"/>
  <c r="G56"/>
  <c r="G55"/>
  <c r="G54"/>
  <c r="G53"/>
  <c r="G52"/>
  <c r="G51"/>
  <c r="G50"/>
  <c r="G49"/>
  <c r="G48"/>
  <c r="G47"/>
  <c r="G46"/>
  <c r="G45"/>
  <c r="G44"/>
  <c r="E89"/>
  <c r="D4" i="3"/>
  <c r="F4"/>
  <c r="H4"/>
  <c r="D5"/>
  <c r="F5"/>
  <c r="H5"/>
  <c r="D6"/>
  <c r="F6"/>
  <c r="H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D22"/>
  <c r="F22"/>
  <c r="D23"/>
  <c r="F23"/>
  <c r="D24"/>
  <c r="F24"/>
  <c r="J25"/>
  <c r="J26"/>
  <c r="J27"/>
  <c r="J28"/>
  <c r="J29"/>
  <c r="J30"/>
  <c r="J31"/>
  <c r="D35"/>
  <c r="F35"/>
  <c r="H35"/>
  <c r="D36"/>
  <c r="F36"/>
  <c r="H36"/>
  <c r="D37"/>
  <c r="F37"/>
  <c r="H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F60" i="2"/>
  <c r="H60" s="1"/>
  <c r="E61"/>
  <c r="F61" s="1"/>
  <c r="E62"/>
  <c r="F62" s="1"/>
  <c r="E63"/>
  <c r="F63" s="1"/>
  <c r="E64"/>
  <c r="F64"/>
  <c r="H64" s="1"/>
  <c r="E65"/>
  <c r="F65" s="1"/>
  <c r="E66"/>
  <c r="F66" s="1"/>
  <c r="E67"/>
  <c r="F67" s="1"/>
  <c r="E68"/>
  <c r="F68"/>
  <c r="G68" s="1"/>
  <c r="E69"/>
  <c r="F69" s="1"/>
  <c r="E70"/>
  <c r="F70" s="1"/>
  <c r="E71"/>
  <c r="F71"/>
  <c r="H71" s="1"/>
  <c r="E83"/>
  <c r="E84"/>
  <c r="E85"/>
  <c r="E86"/>
  <c r="E87"/>
  <c r="E88"/>
  <c r="E90"/>
  <c r="E91"/>
  <c r="H363" s="1"/>
  <c r="B119"/>
  <c r="F119"/>
  <c r="H119" s="1"/>
  <c r="B120"/>
  <c r="F120"/>
  <c r="H120" s="1"/>
  <c r="B121"/>
  <c r="F121"/>
  <c r="H121" s="1"/>
  <c r="F125"/>
  <c r="H125" s="1"/>
  <c r="F126"/>
  <c r="H126" s="1"/>
  <c r="F127"/>
  <c r="H127" s="1"/>
  <c r="F129"/>
  <c r="H129" s="1"/>
  <c r="F130"/>
  <c r="H130" s="1"/>
  <c r="F131"/>
  <c r="H131" s="1"/>
  <c r="F134"/>
  <c r="H134" s="1"/>
  <c r="C135"/>
  <c r="C137"/>
  <c r="B150"/>
  <c r="F150"/>
  <c r="H150" s="1"/>
  <c r="B151"/>
  <c r="F151"/>
  <c r="H151" s="1"/>
  <c r="B152"/>
  <c r="F152"/>
  <c r="H152" s="1"/>
  <c r="B153"/>
  <c r="F153"/>
  <c r="H153" s="1"/>
  <c r="B154"/>
  <c r="F154"/>
  <c r="H154" s="1"/>
  <c r="B155"/>
  <c r="F155"/>
  <c r="H155" s="1"/>
  <c r="B156"/>
  <c r="F156"/>
  <c r="H156" s="1"/>
  <c r="B157"/>
  <c r="F157"/>
  <c r="H157" s="1"/>
  <c r="B158"/>
  <c r="F158"/>
  <c r="H158" s="1"/>
  <c r="B159"/>
  <c r="F159"/>
  <c r="H159" s="1"/>
  <c r="F163"/>
  <c r="B163" s="1"/>
  <c r="F164"/>
  <c r="H164" s="1"/>
  <c r="F165"/>
  <c r="H165" s="1"/>
  <c r="F166"/>
  <c r="H166" s="1"/>
  <c r="F167"/>
  <c r="H167" s="1"/>
  <c r="F168"/>
  <c r="B168" s="1"/>
  <c r="F169"/>
  <c r="B169" s="1"/>
  <c r="F170"/>
  <c r="H170" s="1"/>
  <c r="F171"/>
  <c r="B171" s="1"/>
  <c r="F172"/>
  <c r="H172" s="1"/>
  <c r="F175"/>
  <c r="F176"/>
  <c r="G176" s="1"/>
  <c r="H176" s="1"/>
  <c r="F177"/>
  <c r="G177" s="1"/>
  <c r="H177" s="1"/>
  <c r="F178"/>
  <c r="G178" s="1"/>
  <c r="H178" s="1"/>
  <c r="F179"/>
  <c r="B190"/>
  <c r="F190"/>
  <c r="H190" s="1"/>
  <c r="B191"/>
  <c r="F191"/>
  <c r="H191" s="1"/>
  <c r="B192"/>
  <c r="F192"/>
  <c r="H192" s="1"/>
  <c r="B193"/>
  <c r="F193"/>
  <c r="H193" s="1"/>
  <c r="B194"/>
  <c r="F194"/>
  <c r="H194" s="1"/>
  <c r="B195"/>
  <c r="F195"/>
  <c r="H195" s="1"/>
  <c r="B196"/>
  <c r="F196"/>
  <c r="H196" s="1"/>
  <c r="B197"/>
  <c r="F197"/>
  <c r="H197" s="1"/>
  <c r="B198"/>
  <c r="F198"/>
  <c r="H198" s="1"/>
  <c r="B199"/>
  <c r="F199"/>
  <c r="H199" s="1"/>
  <c r="B202"/>
  <c r="F202"/>
  <c r="H202" s="1"/>
  <c r="B203"/>
  <c r="F203"/>
  <c r="H203" s="1"/>
  <c r="B204"/>
  <c r="F204"/>
  <c r="H204" s="1"/>
  <c r="B205"/>
  <c r="F205"/>
  <c r="H205" s="1"/>
  <c r="B208"/>
  <c r="F208"/>
  <c r="H208" s="1"/>
  <c r="B209"/>
  <c r="F209"/>
  <c r="H209" s="1"/>
  <c r="B210"/>
  <c r="F210"/>
  <c r="H210" s="1"/>
  <c r="B211"/>
  <c r="F211"/>
  <c r="H211" s="1"/>
  <c r="B212"/>
  <c r="F212"/>
  <c r="H212" s="1"/>
  <c r="B213"/>
  <c r="F213"/>
  <c r="H213" s="1"/>
  <c r="B214"/>
  <c r="F214"/>
  <c r="H214" s="1"/>
  <c r="B215"/>
  <c r="F215"/>
  <c r="H215" s="1"/>
  <c r="B216"/>
  <c r="F216"/>
  <c r="H216" s="1"/>
  <c r="B217"/>
  <c r="F217"/>
  <c r="H217" s="1"/>
  <c r="H220"/>
  <c r="H221"/>
  <c r="H222"/>
  <c r="B382" s="1"/>
  <c r="C382" s="1"/>
  <c r="B226"/>
  <c r="F226"/>
  <c r="B227"/>
  <c r="F227"/>
  <c r="H227" s="1"/>
  <c r="B229"/>
  <c r="F231" s="1"/>
  <c r="F230"/>
  <c r="H230" s="1"/>
  <c r="C232"/>
  <c r="F237"/>
  <c r="H237" s="1"/>
  <c r="D407" s="1"/>
  <c r="F241"/>
  <c r="F244"/>
  <c r="H244" s="1"/>
  <c r="F246"/>
  <c r="H246" s="1"/>
  <c r="F248"/>
  <c r="H248" s="1"/>
  <c r="F254"/>
  <c r="H254" s="1"/>
  <c r="C257"/>
  <c r="C258"/>
  <c r="B260"/>
  <c r="F261"/>
  <c r="F262" s="1"/>
  <c r="H262" s="1"/>
  <c r="C264"/>
  <c r="C265"/>
  <c r="B267"/>
  <c r="E268"/>
  <c r="F268"/>
  <c r="G268"/>
  <c r="E270"/>
  <c r="F270"/>
  <c r="R273"/>
  <c r="E276"/>
  <c r="F276"/>
  <c r="G276"/>
  <c r="E278"/>
  <c r="F278"/>
  <c r="E281"/>
  <c r="F281"/>
  <c r="G281"/>
  <c r="E283"/>
  <c r="F283"/>
  <c r="E286"/>
  <c r="F286"/>
  <c r="G286"/>
  <c r="E288"/>
  <c r="F288"/>
  <c r="C293"/>
  <c r="C294"/>
  <c r="B296"/>
  <c r="F297"/>
  <c r="F300" s="1"/>
  <c r="C301"/>
  <c r="C302"/>
  <c r="F305"/>
  <c r="F306" s="1"/>
  <c r="C307"/>
  <c r="C308"/>
  <c r="F311"/>
  <c r="H319" s="1"/>
  <c r="F312"/>
  <c r="F313"/>
  <c r="F314"/>
  <c r="F315"/>
  <c r="F316"/>
  <c r="F317"/>
  <c r="C320"/>
  <c r="F324"/>
  <c r="G324"/>
  <c r="C327"/>
  <c r="C328"/>
  <c r="C329"/>
  <c r="F332"/>
  <c r="H334" s="1"/>
  <c r="C333"/>
  <c r="C334"/>
  <c r="F337"/>
  <c r="H337" s="1"/>
  <c r="C338"/>
  <c r="C339"/>
  <c r="H339" s="1"/>
  <c r="C342"/>
  <c r="F342"/>
  <c r="F345"/>
  <c r="C346"/>
  <c r="C347"/>
  <c r="C350"/>
  <c r="F350"/>
  <c r="C354"/>
  <c r="C355"/>
  <c r="H355" s="1"/>
  <c r="C365"/>
  <c r="H365" s="1"/>
  <c r="H366"/>
  <c r="C372"/>
  <c r="D406"/>
  <c r="H297"/>
  <c r="G64"/>
  <c r="G71"/>
  <c r="G60"/>
  <c r="I60" s="1"/>
  <c r="H169"/>
  <c r="K35" i="3" l="1"/>
  <c r="H306" i="2"/>
  <c r="H68"/>
  <c r="H300"/>
  <c r="F264"/>
  <c r="H264" s="1"/>
  <c r="G179"/>
  <c r="H179" s="1"/>
  <c r="K5" i="3"/>
  <c r="K6"/>
  <c r="I71" i="2"/>
  <c r="I68"/>
  <c r="B164"/>
  <c r="H350"/>
  <c r="I64"/>
  <c r="E72"/>
  <c r="F72" s="1"/>
  <c r="H342"/>
  <c r="H329"/>
  <c r="B166"/>
  <c r="F298"/>
  <c r="H298" s="1"/>
  <c r="H261"/>
  <c r="B167"/>
  <c r="B170"/>
  <c r="H163"/>
  <c r="F302"/>
  <c r="H302" s="1"/>
  <c r="B165"/>
  <c r="H338"/>
  <c r="H168"/>
  <c r="F301"/>
  <c r="H301" s="1"/>
  <c r="F299"/>
  <c r="H299" s="1"/>
  <c r="H253"/>
  <c r="B392" s="1"/>
  <c r="H171"/>
  <c r="H241"/>
  <c r="D408" s="1"/>
  <c r="K36" i="3"/>
  <c r="J35"/>
  <c r="F225" i="2"/>
  <c r="H225" s="1"/>
  <c r="H353"/>
  <c r="H333"/>
  <c r="H305"/>
  <c r="F308"/>
  <c r="H308" s="1"/>
  <c r="F307"/>
  <c r="H307" s="1"/>
  <c r="G278"/>
  <c r="H278" s="1"/>
  <c r="G288"/>
  <c r="G293" s="1"/>
  <c r="H255"/>
  <c r="F250"/>
  <c r="H250" s="1"/>
  <c r="F232"/>
  <c r="H232" s="1"/>
  <c r="B388" s="1"/>
  <c r="K388" s="1"/>
  <c r="F233"/>
  <c r="H233" s="1"/>
  <c r="H226"/>
  <c r="J382"/>
  <c r="H206"/>
  <c r="F184"/>
  <c r="J37" i="3"/>
  <c r="F137" i="2"/>
  <c r="H137" s="1"/>
  <c r="J5" i="3"/>
  <c r="J4"/>
  <c r="J19" s="1"/>
  <c r="K37"/>
  <c r="J36"/>
  <c r="J24"/>
  <c r="J23"/>
  <c r="J22"/>
  <c r="J6"/>
  <c r="K4"/>
  <c r="H132" i="2"/>
  <c r="G65"/>
  <c r="H65"/>
  <c r="I62"/>
  <c r="H62"/>
  <c r="G62"/>
  <c r="G61"/>
  <c r="I61"/>
  <c r="H61"/>
  <c r="H70"/>
  <c r="G70"/>
  <c r="I70"/>
  <c r="H67"/>
  <c r="G67"/>
  <c r="H69"/>
  <c r="G69"/>
  <c r="G66"/>
  <c r="H66"/>
  <c r="H63"/>
  <c r="G63"/>
  <c r="G283"/>
  <c r="H283" s="1"/>
  <c r="H200"/>
  <c r="H122"/>
  <c r="H325"/>
  <c r="F265"/>
  <c r="H265" s="1"/>
  <c r="H328"/>
  <c r="B172"/>
  <c r="H332"/>
  <c r="G270"/>
  <c r="F318"/>
  <c r="H218"/>
  <c r="H347"/>
  <c r="H346"/>
  <c r="H345"/>
  <c r="H327"/>
  <c r="H326"/>
  <c r="H160"/>
  <c r="K382"/>
  <c r="D382"/>
  <c r="F206"/>
  <c r="H354"/>
  <c r="G175"/>
  <c r="H181" s="1"/>
  <c r="H231"/>
  <c r="I66" l="1"/>
  <c r="I67"/>
  <c r="I65"/>
  <c r="H173"/>
  <c r="K60" i="3"/>
  <c r="B147" i="2" s="1"/>
  <c r="J32" i="3"/>
  <c r="B144" i="2" s="1"/>
  <c r="K19" i="3"/>
  <c r="B140" i="2" s="1"/>
  <c r="H72"/>
  <c r="G72"/>
  <c r="I63"/>
  <c r="I69"/>
  <c r="F251"/>
  <c r="J60" i="3"/>
  <c r="F147" i="2" s="1"/>
  <c r="H147" s="1"/>
  <c r="B384"/>
  <c r="K384" s="1"/>
  <c r="F142"/>
  <c r="H142" s="1"/>
  <c r="D401"/>
  <c r="E293"/>
  <c r="H288"/>
  <c r="H289"/>
  <c r="F293"/>
  <c r="J388"/>
  <c r="C388"/>
  <c r="D388" s="1"/>
  <c r="F388" s="1"/>
  <c r="F187"/>
  <c r="H185"/>
  <c r="H184"/>
  <c r="H135"/>
  <c r="F141"/>
  <c r="H141" s="1"/>
  <c r="H272"/>
  <c r="B394" s="1"/>
  <c r="H273"/>
  <c r="H291"/>
  <c r="B389" s="1"/>
  <c r="C389" s="1"/>
  <c r="D389" s="1"/>
  <c r="H271"/>
  <c r="B393" s="1"/>
  <c r="C393" s="1"/>
  <c r="E382"/>
  <c r="H382"/>
  <c r="G382"/>
  <c r="F382"/>
  <c r="K392"/>
  <c r="C392"/>
  <c r="D392" s="1"/>
  <c r="J392"/>
  <c r="H175"/>
  <c r="H180" s="1"/>
  <c r="H320"/>
  <c r="H321"/>
  <c r="D405" s="1"/>
  <c r="B387" l="1"/>
  <c r="C387" s="1"/>
  <c r="D387" s="1"/>
  <c r="H387" s="1"/>
  <c r="H251"/>
  <c r="H252" s="1"/>
  <c r="F257"/>
  <c r="F258" s="1"/>
  <c r="H258" s="1"/>
  <c r="F369"/>
  <c r="F372" s="1"/>
  <c r="I72"/>
  <c r="C384"/>
  <c r="D384" s="1"/>
  <c r="F384" s="1"/>
  <c r="J384"/>
  <c r="H143"/>
  <c r="B383" s="1"/>
  <c r="K383" s="1"/>
  <c r="H294"/>
  <c r="H290"/>
  <c r="B385" s="1"/>
  <c r="E388"/>
  <c r="K393"/>
  <c r="H293"/>
  <c r="G388"/>
  <c r="H388"/>
  <c r="H188"/>
  <c r="B395" s="1"/>
  <c r="K395" s="1"/>
  <c r="L395" s="1"/>
  <c r="H187"/>
  <c r="K389"/>
  <c r="J389"/>
  <c r="C383"/>
  <c r="K387"/>
  <c r="D393"/>
  <c r="F393" s="1"/>
  <c r="J393"/>
  <c r="K394"/>
  <c r="J394"/>
  <c r="C394"/>
  <c r="D394" s="1"/>
  <c r="F392"/>
  <c r="G392"/>
  <c r="H392"/>
  <c r="E392"/>
  <c r="E389"/>
  <c r="G389"/>
  <c r="H389"/>
  <c r="F389"/>
  <c r="H257"/>
  <c r="I382"/>
  <c r="L382" s="1"/>
  <c r="D403" l="1"/>
  <c r="G387"/>
  <c r="F387"/>
  <c r="E387"/>
  <c r="J387"/>
  <c r="D402"/>
  <c r="E384"/>
  <c r="H384"/>
  <c r="G384"/>
  <c r="F371"/>
  <c r="H371" s="1"/>
  <c r="H369"/>
  <c r="B386" s="1"/>
  <c r="C386" s="1"/>
  <c r="D386" s="1"/>
  <c r="H386" s="1"/>
  <c r="F370"/>
  <c r="H372" s="1"/>
  <c r="D404" s="1"/>
  <c r="D383"/>
  <c r="G383" s="1"/>
  <c r="J383"/>
  <c r="C385"/>
  <c r="D385" s="1"/>
  <c r="H393"/>
  <c r="I388"/>
  <c r="L388" s="1"/>
  <c r="G393"/>
  <c r="E393"/>
  <c r="K385"/>
  <c r="J385"/>
  <c r="I392"/>
  <c r="L392" s="1"/>
  <c r="I387"/>
  <c r="E394"/>
  <c r="F394"/>
  <c r="G394"/>
  <c r="H394"/>
  <c r="I389"/>
  <c r="L389" s="1"/>
  <c r="L387" l="1"/>
  <c r="E383"/>
  <c r="H383"/>
  <c r="F383"/>
  <c r="I384"/>
  <c r="L384" s="1"/>
  <c r="H370"/>
  <c r="H375" s="1"/>
  <c r="B391" s="1"/>
  <c r="F386"/>
  <c r="J386"/>
  <c r="G386"/>
  <c r="E386"/>
  <c r="K386"/>
  <c r="I393"/>
  <c r="L393" s="1"/>
  <c r="I394"/>
  <c r="L394" s="1"/>
  <c r="G385"/>
  <c r="F385"/>
  <c r="H385"/>
  <c r="E385"/>
  <c r="I383" l="1"/>
  <c r="L383" s="1"/>
  <c r="B390"/>
  <c r="J390" s="1"/>
  <c r="I386"/>
  <c r="L386" s="1"/>
  <c r="C391"/>
  <c r="D391" s="1"/>
  <c r="K391"/>
  <c r="J391"/>
  <c r="I385"/>
  <c r="L385" s="1"/>
  <c r="C390" l="1"/>
  <c r="D399" s="1"/>
  <c r="L409" s="1"/>
  <c r="L411" s="1"/>
  <c r="K390"/>
  <c r="K396" s="1"/>
  <c r="L413" s="1"/>
  <c r="E391"/>
  <c r="F391"/>
  <c r="G391"/>
  <c r="H391"/>
  <c r="D390" l="1"/>
  <c r="I391"/>
  <c r="L391" s="1"/>
  <c r="G390" l="1"/>
  <c r="F390"/>
  <c r="H390"/>
  <c r="E390"/>
  <c r="I390" l="1"/>
  <c r="L390" s="1"/>
  <c r="L396" s="1"/>
  <c r="L414" s="1"/>
  <c r="L410" l="1"/>
  <c r="L412"/>
  <c r="L415" l="1"/>
  <c r="L416" s="1"/>
  <c r="L417" l="1"/>
  <c r="L418" s="1"/>
  <c r="C155" i="1" s="1"/>
</calcChain>
</file>

<file path=xl/comments1.xml><?xml version="1.0" encoding="utf-8"?>
<comments xmlns="http://schemas.openxmlformats.org/spreadsheetml/2006/main">
  <authors>
    <author>Fred Brost</author>
    <author>FRED BROST</author>
    <author>krentmei</author>
  </authors>
  <commentList>
    <comment ref="F16" authorId="0">
      <text>
        <r>
          <rPr>
            <sz val="9"/>
            <color indexed="81"/>
            <rFont val="Tahoma"/>
            <charset val="1"/>
          </rPr>
          <t xml:space="preserve">
For cuts on one side only, use 1/2 of the road width</t>
        </r>
      </text>
    </comment>
    <comment ref="H26" authorId="1">
      <text>
        <r>
          <rPr>
            <sz val="8"/>
            <color indexed="81"/>
            <rFont val="Tahoma"/>
            <family val="2"/>
          </rPr>
          <t xml:space="preserve">If only clearing is involved, enter 0 (zero)
</t>
        </r>
      </text>
    </comment>
    <comment ref="H35" authorId="1">
      <text>
        <r>
          <rPr>
            <sz val="8"/>
            <color indexed="81"/>
            <rFont val="Tahoma"/>
            <family val="2"/>
          </rPr>
          <t>Enter maximum vertical height of dump (toe to crest)</t>
        </r>
      </text>
    </comment>
    <comment ref="H36" authorId="1">
      <text>
        <r>
          <rPr>
            <sz val="8"/>
            <color indexed="81"/>
            <rFont val="Tahoma"/>
            <family val="2"/>
          </rPr>
          <t>Enter maximum vertical height of dump (toe to crest)</t>
        </r>
      </text>
    </comment>
    <comment ref="H37" authorId="1">
      <text>
        <r>
          <rPr>
            <sz val="8"/>
            <color indexed="81"/>
            <rFont val="Tahoma"/>
            <family val="2"/>
          </rPr>
          <t>Enter maximum vertical height of dump (toe to crest)</t>
        </r>
      </text>
    </comment>
    <comment ref="H38" authorId="1">
      <text>
        <r>
          <rPr>
            <sz val="8"/>
            <color indexed="81"/>
            <rFont val="Tahoma"/>
            <family val="2"/>
          </rPr>
          <t>Enter maximum vertical height of dump (toe to crest)</t>
        </r>
      </text>
    </comment>
    <comment ref="H39" authorId="1">
      <text>
        <r>
          <rPr>
            <sz val="8"/>
            <color indexed="81"/>
            <rFont val="Tahoma"/>
            <family val="2"/>
          </rPr>
          <t>Enter maximum vertical height of dump (toe to crest)</t>
        </r>
      </text>
    </comment>
    <comment ref="H40" authorId="2">
      <text>
        <r>
          <rPr>
            <sz val="8"/>
            <color indexed="81"/>
            <rFont val="Tahoma"/>
            <family val="2"/>
          </rPr>
          <t xml:space="preserve">Enter maximum vertical height (toe to crest).
</t>
        </r>
      </text>
    </comment>
    <comment ref="H41" authorId="2">
      <text>
        <r>
          <rPr>
            <sz val="8"/>
            <color indexed="81"/>
            <rFont val="Tahoma"/>
            <family val="2"/>
          </rPr>
          <t xml:space="preserve">Enter maxium vertical height (toe to crest)
</t>
        </r>
      </text>
    </comment>
    <comment ref="H42" authorId="2">
      <text>
        <r>
          <rPr>
            <sz val="8"/>
            <color indexed="81"/>
            <rFont val="Tahoma"/>
            <family val="2"/>
          </rPr>
          <t xml:space="preserve">Enter maxium vertical height (toe to crest)
</t>
        </r>
      </text>
    </comment>
    <comment ref="H43" authorId="2">
      <text>
        <r>
          <rPr>
            <sz val="8"/>
            <color indexed="81"/>
            <rFont val="Tahoma"/>
            <family val="2"/>
          </rPr>
          <t xml:space="preserve">Enter maxium vertical height (toe to crest)
</t>
        </r>
      </text>
    </comment>
    <comment ref="H44" authorId="2">
      <text>
        <r>
          <rPr>
            <sz val="8"/>
            <color indexed="81"/>
            <rFont val="Tahoma"/>
            <family val="2"/>
          </rPr>
          <t xml:space="preserve">Enter maxium vertical height (toe to crest)
</t>
        </r>
      </text>
    </comment>
    <comment ref="H70" authorId="1">
      <text>
        <r>
          <rPr>
            <sz val="9"/>
            <color indexed="81"/>
            <rFont val="Tahoma"/>
            <family val="2"/>
          </rPr>
          <t>Enter Yes if material can not be ripped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96" authorId="1">
      <text>
        <r>
          <rPr>
            <sz val="8"/>
            <color indexed="81"/>
            <rFont val="Tahoma"/>
            <family val="2"/>
          </rPr>
          <t xml:space="preserve">Add  total depth of all water wells together.
</t>
        </r>
      </text>
    </comment>
    <comment ref="D98" authorId="1">
      <text>
        <r>
          <rPr>
            <sz val="8"/>
            <color indexed="81"/>
            <rFont val="Tahoma"/>
            <family val="2"/>
          </rPr>
          <t xml:space="preserve">Add total length of all holes together and enter here.
</t>
        </r>
      </text>
    </comment>
    <comment ref="D100" authorId="0">
      <text>
        <r>
          <rPr>
            <sz val="8"/>
            <color indexed="81"/>
            <rFont val="Tahoma"/>
            <family val="2"/>
          </rPr>
          <t xml:space="preserve">To convert tons to cubic yards, divide number of tons by 2
</t>
        </r>
      </text>
    </comment>
    <comment ref="D101" authorId="0">
      <text>
        <r>
          <rPr>
            <sz val="8"/>
            <color indexed="81"/>
            <rFont val="Tahoma"/>
            <family val="2"/>
          </rPr>
          <t xml:space="preserve">To convert tons to cubic yards, divide number of tons by 2
</t>
        </r>
      </text>
    </comment>
    <comment ref="D103" authorId="0">
      <text>
        <r>
          <rPr>
            <sz val="8"/>
            <color indexed="81"/>
            <rFont val="Tahoma"/>
            <family val="2"/>
          </rPr>
          <t xml:space="preserve">To convert tons to cubic yards, divide number of tons by 2
</t>
        </r>
      </text>
    </comment>
    <comment ref="A108" authorId="1">
      <text>
        <r>
          <rPr>
            <sz val="8"/>
            <color indexed="81"/>
            <rFont val="Tahoma"/>
            <family val="2"/>
          </rPr>
          <t>Place an X in the appropriate box at right</t>
        </r>
      </text>
    </comment>
    <comment ref="D108" authorId="1">
      <text>
        <r>
          <rPr>
            <sz val="8"/>
            <color indexed="81"/>
            <rFont val="Tahoma"/>
            <family val="2"/>
          </rPr>
          <t xml:space="preserve">Place an X in this box if the building is steel
</t>
        </r>
      </text>
    </comment>
    <comment ref="F108" authorId="1">
      <text>
        <r>
          <rPr>
            <sz val="8"/>
            <color indexed="81"/>
            <rFont val="Tahoma"/>
            <family val="2"/>
          </rPr>
          <t xml:space="preserve">Plce an X in this box if the building is block
</t>
        </r>
      </text>
    </comment>
    <comment ref="H108" authorId="1">
      <text>
        <r>
          <rPr>
            <sz val="8"/>
            <color indexed="81"/>
            <rFont val="Tahoma"/>
            <family val="2"/>
          </rPr>
          <t xml:space="preserve">Place an X in this box if the building is wood
</t>
        </r>
      </text>
    </comment>
    <comment ref="A110" authorId="1">
      <text>
        <r>
          <rPr>
            <sz val="8"/>
            <color indexed="81"/>
            <rFont val="Tahoma"/>
            <family val="2"/>
          </rPr>
          <t>Place an X in the appropriate box at right</t>
        </r>
      </text>
    </comment>
    <comment ref="D110" authorId="1">
      <text>
        <r>
          <rPr>
            <sz val="8"/>
            <color indexed="81"/>
            <rFont val="Tahoma"/>
            <family val="2"/>
          </rPr>
          <t xml:space="preserve">Place an X in this box if the building is steel
</t>
        </r>
      </text>
    </comment>
    <comment ref="F110" authorId="1">
      <text>
        <r>
          <rPr>
            <sz val="8"/>
            <color indexed="81"/>
            <rFont val="Tahoma"/>
            <family val="2"/>
          </rPr>
          <t xml:space="preserve">Plce an X in this box if the building is block
</t>
        </r>
      </text>
    </comment>
    <comment ref="H110" authorId="1">
      <text>
        <r>
          <rPr>
            <sz val="8"/>
            <color indexed="81"/>
            <rFont val="Tahoma"/>
            <family val="2"/>
          </rPr>
          <t xml:space="preserve">Place an X in this box if the building is wood
</t>
        </r>
      </text>
    </comment>
    <comment ref="A112" authorId="1">
      <text>
        <r>
          <rPr>
            <sz val="8"/>
            <color indexed="81"/>
            <rFont val="Tahoma"/>
            <family val="2"/>
          </rPr>
          <t>Place an X in the appropriate box at right</t>
        </r>
      </text>
    </comment>
    <comment ref="D112" authorId="1">
      <text>
        <r>
          <rPr>
            <sz val="8"/>
            <color indexed="81"/>
            <rFont val="Tahoma"/>
            <family val="2"/>
          </rPr>
          <t xml:space="preserve">Place an X in this box if the building is steel
</t>
        </r>
      </text>
    </comment>
    <comment ref="F112" authorId="1">
      <text>
        <r>
          <rPr>
            <sz val="8"/>
            <color indexed="81"/>
            <rFont val="Tahoma"/>
            <family val="2"/>
          </rPr>
          <t xml:space="preserve">Plce an X in this box if the building is block
</t>
        </r>
      </text>
    </comment>
    <comment ref="H112" authorId="1">
      <text>
        <r>
          <rPr>
            <sz val="8"/>
            <color indexed="81"/>
            <rFont val="Tahoma"/>
            <family val="2"/>
          </rPr>
          <t xml:space="preserve">Place an X in this box if the building is wood
</t>
        </r>
      </text>
    </comment>
    <comment ref="A114" authorId="1">
      <text>
        <r>
          <rPr>
            <sz val="8"/>
            <color indexed="81"/>
            <rFont val="Tahoma"/>
            <family val="2"/>
          </rPr>
          <t>Place an X in the appropriate box at right</t>
        </r>
      </text>
    </comment>
    <comment ref="D114" authorId="1">
      <text>
        <r>
          <rPr>
            <sz val="8"/>
            <color indexed="81"/>
            <rFont val="Tahoma"/>
            <family val="2"/>
          </rPr>
          <t xml:space="preserve">Place an X in this box if the building is steel
</t>
        </r>
      </text>
    </comment>
    <comment ref="F114" authorId="1">
      <text>
        <r>
          <rPr>
            <sz val="8"/>
            <color indexed="81"/>
            <rFont val="Tahoma"/>
            <family val="2"/>
          </rPr>
          <t xml:space="preserve">Plce an X in this box if the building is block
</t>
        </r>
      </text>
    </comment>
    <comment ref="H114" authorId="1">
      <text>
        <r>
          <rPr>
            <sz val="8"/>
            <color indexed="81"/>
            <rFont val="Tahoma"/>
            <family val="2"/>
          </rPr>
          <t xml:space="preserve">Place an X in this box if the building is wood
</t>
        </r>
      </text>
    </comment>
    <comment ref="A116" authorId="1">
      <text>
        <r>
          <rPr>
            <sz val="8"/>
            <color indexed="81"/>
            <rFont val="Tahoma"/>
            <family val="2"/>
          </rPr>
          <t>Place an X in the appropriate box at right</t>
        </r>
      </text>
    </comment>
    <comment ref="D116" authorId="1">
      <text>
        <r>
          <rPr>
            <sz val="8"/>
            <color indexed="81"/>
            <rFont val="Tahoma"/>
            <family val="2"/>
          </rPr>
          <t xml:space="preserve">Place an X in this box if the building is steel
</t>
        </r>
      </text>
    </comment>
    <comment ref="F116" authorId="1">
      <text>
        <r>
          <rPr>
            <sz val="8"/>
            <color indexed="81"/>
            <rFont val="Tahoma"/>
            <family val="2"/>
          </rPr>
          <t xml:space="preserve">Plce an X in this box if the building is block
</t>
        </r>
      </text>
    </comment>
    <comment ref="H116" authorId="1">
      <text>
        <r>
          <rPr>
            <sz val="8"/>
            <color indexed="81"/>
            <rFont val="Tahoma"/>
            <family val="2"/>
          </rPr>
          <t xml:space="preserve">Place an X in this box if the building is wood
</t>
        </r>
      </text>
    </comment>
    <comment ref="C155" authorId="1">
      <text>
        <r>
          <rPr>
            <sz val="8"/>
            <color indexed="81"/>
            <rFont val="Tahoma"/>
            <family val="2"/>
          </rPr>
          <t xml:space="preserve">DATA NEEDED message indicates distances to landfill and equipment rental are not filled in.
</t>
        </r>
      </text>
    </comment>
  </commentList>
</comments>
</file>

<file path=xl/sharedStrings.xml><?xml version="1.0" encoding="utf-8"?>
<sst xmlns="http://schemas.openxmlformats.org/spreadsheetml/2006/main" count="1423" uniqueCount="616">
  <si>
    <t>Shafts</t>
  </si>
  <si>
    <t>Pits</t>
  </si>
  <si>
    <t>Adits</t>
  </si>
  <si>
    <t xml:space="preserve">Asphalt </t>
  </si>
  <si>
    <t>Structures</t>
  </si>
  <si>
    <t>Chemicals</t>
  </si>
  <si>
    <t>Length (ft)</t>
  </si>
  <si>
    <t>Width (ft)</t>
  </si>
  <si>
    <t>Depth (ft)</t>
  </si>
  <si>
    <t>Total area (sf)</t>
  </si>
  <si>
    <t>Leave boxes that do not apply to your operation blank.</t>
  </si>
  <si>
    <t xml:space="preserve">            Construction:</t>
  </si>
  <si>
    <t>Waste dumps/spoil piles</t>
  </si>
  <si>
    <t>Roads</t>
  </si>
  <si>
    <t>Your reclamation bond is:</t>
  </si>
  <si>
    <t>Scope of Work</t>
  </si>
  <si>
    <t>#1</t>
  </si>
  <si>
    <t>#2</t>
  </si>
  <si>
    <t>#3</t>
  </si>
  <si>
    <t xml:space="preserve">Trenches                       </t>
  </si>
  <si>
    <t>Adits:</t>
  </si>
  <si>
    <t>Roads:</t>
  </si>
  <si>
    <t>Waste dumps/spoil piles:</t>
  </si>
  <si>
    <t>Shafts:</t>
  </si>
  <si>
    <t>Pits:</t>
  </si>
  <si>
    <t>Trenches:</t>
  </si>
  <si>
    <t>Tailings impoundments:</t>
  </si>
  <si>
    <t>Tailings impoundment</t>
  </si>
  <si>
    <t xml:space="preserve"> </t>
  </si>
  <si>
    <t>Asphalt</t>
  </si>
  <si>
    <t>Break/cut  into manageable chunks and haul to an approved landfill.</t>
  </si>
  <si>
    <t xml:space="preserve">filter layer.  Fill the remainder with general purpose fill and mound.  Place three-strand barbed wire fence </t>
  </si>
  <si>
    <t>and warning signs 25' from shaft all around.</t>
  </si>
  <si>
    <t>RECLAMATION BOND CALCULATION SPREADSHEET</t>
  </si>
  <si>
    <t>Concrete</t>
  </si>
  <si>
    <t>Total (cu. yd.)</t>
  </si>
  <si>
    <t>Trailers</t>
  </si>
  <si>
    <t>How many?</t>
  </si>
  <si>
    <t>Tires</t>
  </si>
  <si>
    <t>Water or silt ponds</t>
  </si>
  <si>
    <t>Chemical drums</t>
  </si>
  <si>
    <t>Fuel/oil/lube drums</t>
  </si>
  <si>
    <t>Explosives</t>
  </si>
  <si>
    <t>Lbs.</t>
  </si>
  <si>
    <t xml:space="preserve">Use the units indicated - feet (ft), square feet (sf), inches (in), cubic yards (cu yd), etc.   </t>
  </si>
  <si>
    <t>Distance to public landfill</t>
  </si>
  <si>
    <t>Distance to equipment rental</t>
  </si>
  <si>
    <t>Miles</t>
  </si>
  <si>
    <t xml:space="preserve">Cut liner (if any) and fold into pond.  Fill, mound and revegetate.  </t>
  </si>
  <si>
    <t>Load and haul to disposal site.</t>
  </si>
  <si>
    <t>Water wells</t>
  </si>
  <si>
    <t>Day</t>
  </si>
  <si>
    <t>Week</t>
  </si>
  <si>
    <t>Month</t>
  </si>
  <si>
    <t>8 hrs</t>
  </si>
  <si>
    <t>40 hrs</t>
  </si>
  <si>
    <t>Skid steer loader</t>
  </si>
  <si>
    <t>Backhoe loader</t>
  </si>
  <si>
    <t>Wheel loader</t>
  </si>
  <si>
    <t>Cat 120 (12')</t>
  </si>
  <si>
    <t>Track-type tractor (dozer/ripper)</t>
  </si>
  <si>
    <t>Haul truck</t>
  </si>
  <si>
    <t>Forklift</t>
  </si>
  <si>
    <t>Water truck</t>
  </si>
  <si>
    <t xml:space="preserve">Rate </t>
  </si>
  <si>
    <t>Total</t>
  </si>
  <si>
    <t>Power equipment operator</t>
  </si>
  <si>
    <t>Machine</t>
  </si>
  <si>
    <t>sq ft/hr</t>
  </si>
  <si>
    <t>Removing culverts</t>
  </si>
  <si>
    <t>Culverts</t>
  </si>
  <si>
    <t>cu yd/hr</t>
  </si>
  <si>
    <t>Waste dumps/spoils piles</t>
  </si>
  <si>
    <t>$/cu yd</t>
  </si>
  <si>
    <t>$/cu yd mi</t>
  </si>
  <si>
    <t>Bulkheads</t>
  </si>
  <si>
    <t>Timber</t>
  </si>
  <si>
    <t>$/bulkhead</t>
  </si>
  <si>
    <t>man hours</t>
  </si>
  <si>
    <t>Fencing</t>
  </si>
  <si>
    <t>Materials</t>
  </si>
  <si>
    <t>Trenches</t>
  </si>
  <si>
    <t>cu yd /hr</t>
  </si>
  <si>
    <t>Ponds</t>
  </si>
  <si>
    <t xml:space="preserve">Allow to dry.  Flatten slopes to 2:1.  Cap with 12" waste rock and 8" fines or soil.  Revegetate. </t>
  </si>
  <si>
    <t>$/ton mi</t>
  </si>
  <si>
    <t>$/ton</t>
  </si>
  <si>
    <t>Landfill fee</t>
  </si>
  <si>
    <t>Concrete slabs</t>
  </si>
  <si>
    <t>Concrete foundations</t>
  </si>
  <si>
    <t>Face height (ft)</t>
  </si>
  <si>
    <t>Ave. depth (ft)</t>
  </si>
  <si>
    <t xml:space="preserve">  </t>
  </si>
  <si>
    <t>Load (Crane)</t>
  </si>
  <si>
    <t>hrs/1000 cf</t>
  </si>
  <si>
    <t>Eave height (ft)</t>
  </si>
  <si>
    <t xml:space="preserve">$/t </t>
  </si>
  <si>
    <t>Disposal fee</t>
  </si>
  <si>
    <t>$/mi</t>
  </si>
  <si>
    <t>$/trailer</t>
  </si>
  <si>
    <t>$/tank</t>
  </si>
  <si>
    <t>hr/tank</t>
  </si>
  <si>
    <t xml:space="preserve">$/mi/20 drums </t>
  </si>
  <si>
    <t>$/t</t>
  </si>
  <si>
    <t>lf/hr</t>
  </si>
  <si>
    <t>Off road</t>
  </si>
  <si>
    <t>Highway</t>
  </si>
  <si>
    <t>Tires, heavy equipment</t>
  </si>
  <si>
    <t>Tires, highway</t>
  </si>
  <si>
    <t>$/tire</t>
  </si>
  <si>
    <t>Revegetation Costs  (Western Sere, Casa Grande, AZ estimate)</t>
  </si>
  <si>
    <t xml:space="preserve">Day </t>
  </si>
  <si>
    <t>Equipment Operating Costs (Caterpillar Performance Handbook, Edition 31, where applicable)</t>
  </si>
  <si>
    <t>Fuel, gal/hr</t>
  </si>
  <si>
    <t>Fuel cost/gal</t>
  </si>
  <si>
    <t>Fuel cost/hr</t>
  </si>
  <si>
    <t>Lube &amp; filters</t>
  </si>
  <si>
    <t>NOTES:</t>
  </si>
  <si>
    <t>1.  Lube and filter cost assumed at 10% of fuel cost</t>
  </si>
  <si>
    <t>3.  Other machine costs(undercarriage, tires, wear parts) included in rental</t>
  </si>
  <si>
    <t xml:space="preserve">Total </t>
  </si>
  <si>
    <t>mh/bulkhead</t>
  </si>
  <si>
    <t>$total</t>
  </si>
  <si>
    <t>Crane</t>
  </si>
  <si>
    <t>Laborer</t>
  </si>
  <si>
    <t>Ironworker</t>
  </si>
  <si>
    <t>Rental</t>
  </si>
  <si>
    <t>Fuel, etc</t>
  </si>
  <si>
    <t>Operator</t>
  </si>
  <si>
    <t>&gt;1 day</t>
  </si>
  <si>
    <t>Daily</t>
  </si>
  <si>
    <t>Weekly</t>
  </si>
  <si>
    <t>Monthly</t>
  </si>
  <si>
    <t>Depth of water(ft)</t>
  </si>
  <si>
    <t>Op. Hrs</t>
  </si>
  <si>
    <t>Mob. Hrs</t>
  </si>
  <si>
    <t>Total Hrs</t>
  </si>
  <si>
    <t>Septic tanks</t>
  </si>
  <si>
    <t>number</t>
  </si>
  <si>
    <t>tons</t>
  </si>
  <si>
    <t>steel tons</t>
  </si>
  <si>
    <t>block tons</t>
  </si>
  <si>
    <t>wood tons</t>
  </si>
  <si>
    <t>hrs/tank</t>
  </si>
  <si>
    <t>tanks</t>
  </si>
  <si>
    <t>Contents:</t>
  </si>
  <si>
    <t>$/drum</t>
  </si>
  <si>
    <t>flat fee</t>
  </si>
  <si>
    <t>Explosives (Contract)</t>
  </si>
  <si>
    <t>Cubic yards</t>
  </si>
  <si>
    <t>Prep materials</t>
  </si>
  <si>
    <t>Total direct costs</t>
  </si>
  <si>
    <t>Equipment rental, operating and other direct costs</t>
  </si>
  <si>
    <t>Liability, % of labor</t>
  </si>
  <si>
    <t>Subcontract &amp; materials</t>
  </si>
  <si>
    <t>Subcontract total</t>
  </si>
  <si>
    <t>Contract total</t>
  </si>
  <si>
    <t>TOTAL RECLAMATION COST</t>
  </si>
  <si>
    <t>Revegetation</t>
  </si>
  <si>
    <t>$</t>
  </si>
  <si>
    <t>USER INPUT AND RECLAMATION COST TOTAL</t>
  </si>
  <si>
    <t>Total Cost Calculations</t>
  </si>
  <si>
    <t>Road 1</t>
  </si>
  <si>
    <t>Road 2</t>
  </si>
  <si>
    <t>Road 3</t>
  </si>
  <si>
    <t>Culvert 1</t>
  </si>
  <si>
    <t>Culvert 2</t>
  </si>
  <si>
    <t>Culvert 3</t>
  </si>
  <si>
    <t>Dump 1</t>
  </si>
  <si>
    <t>Dump 2</t>
  </si>
  <si>
    <t>Dump 3</t>
  </si>
  <si>
    <t>Shaft 1</t>
  </si>
  <si>
    <t>Shaft 2</t>
  </si>
  <si>
    <t>Shaft 3</t>
  </si>
  <si>
    <t>Pit 1</t>
  </si>
  <si>
    <t>Pit 2</t>
  </si>
  <si>
    <t>Pit 3</t>
  </si>
  <si>
    <t>Trench 1</t>
  </si>
  <si>
    <t>Trench 2</t>
  </si>
  <si>
    <t>Trench 3</t>
  </si>
  <si>
    <t>Pond 1</t>
  </si>
  <si>
    <t>Pond 2</t>
  </si>
  <si>
    <t>no/tons</t>
  </si>
  <si>
    <t>chemical</t>
  </si>
  <si>
    <t>lbs.</t>
  </si>
  <si>
    <t>cu. yd.</t>
  </si>
  <si>
    <t>acres</t>
  </si>
  <si>
    <t>dry cu. yd.</t>
  </si>
  <si>
    <t>wet cu.yd.</t>
  </si>
  <si>
    <t>linear ft.</t>
  </si>
  <si>
    <t>sq. ft.</t>
  </si>
  <si>
    <t>Disposal by licensed contractor.</t>
  </si>
  <si>
    <t>Model</t>
  </si>
  <si>
    <t xml:space="preserve">Equipment  </t>
  </si>
  <si>
    <t>Rates incl. tax &amp; equip prot'n</t>
  </si>
  <si>
    <t>Gabion materials</t>
  </si>
  <si>
    <t>Gabion labor</t>
  </si>
  <si>
    <t>Labor</t>
  </si>
  <si>
    <t>Prep labor</t>
  </si>
  <si>
    <t>hr/trailer</t>
  </si>
  <si>
    <t>Number</t>
  </si>
  <si>
    <t>Misc. Input Factors</t>
  </si>
  <si>
    <t>Landfill fees, common trash</t>
  </si>
  <si>
    <t>heavy equipment tires</t>
  </si>
  <si>
    <t>highway tires</t>
  </si>
  <si>
    <t>Explosives disposal</t>
  </si>
  <si>
    <t>Cost</t>
  </si>
  <si>
    <t>Unit</t>
  </si>
  <si>
    <t>mile</t>
  </si>
  <si>
    <t>ton</t>
  </si>
  <si>
    <t>tire</t>
  </si>
  <si>
    <t>drum</t>
  </si>
  <si>
    <t>acre</t>
  </si>
  <si>
    <t>ton mile</t>
  </si>
  <si>
    <t>Trailer disposal</t>
  </si>
  <si>
    <t>trailer</t>
  </si>
  <si>
    <t>Water/fuel tank disposal</t>
  </si>
  <si>
    <t>Chemical tank disposal</t>
  </si>
  <si>
    <t>tank</t>
  </si>
  <si>
    <t>Operating Hours, Costs and Fees</t>
  </si>
  <si>
    <t>Facility/Feature</t>
  </si>
  <si>
    <t>Units</t>
  </si>
  <si>
    <t>Quantities</t>
  </si>
  <si>
    <t>Totals</t>
  </si>
  <si>
    <t>Facility/feature</t>
  </si>
  <si>
    <t>Reclamation Scope</t>
  </si>
  <si>
    <t>Prod'n factor</t>
  </si>
  <si>
    <t>$/adit</t>
  </si>
  <si>
    <t>Reveg.</t>
  </si>
  <si>
    <t>Area</t>
  </si>
  <si>
    <t>at collar)</t>
  </si>
  <si>
    <t>(average lengths and widths)</t>
  </si>
  <si>
    <t>at surface)</t>
  </si>
  <si>
    <t>(average lengths and widths</t>
  </si>
  <si>
    <t>(lengths and widths of shafts</t>
  </si>
  <si>
    <t xml:space="preserve">(average lengths, widths and </t>
  </si>
  <si>
    <t>Load (Flat fee)</t>
  </si>
  <si>
    <t xml:space="preserve">$/t mi </t>
  </si>
  <si>
    <t xml:space="preserve">Please fill in the yellow cells relating to the areas to be disturbed during the operation.    </t>
  </si>
  <si>
    <t xml:space="preserve">Place 2' wide gabion 30' inside adit.  Fill adit with general -purpose fill to within 8' of opening.  Fill last 8' with rock. </t>
  </si>
  <si>
    <t>Contract closure to licensed driller.</t>
  </si>
  <si>
    <t>Pump out (by contractor), remove, haul to approved landfill, fill hole.</t>
  </si>
  <si>
    <t>Prepare and haul to disposal site.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</si>
  <si>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</si>
  <si>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</si>
  <si>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</si>
  <si>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</si>
  <si>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</si>
  <si>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</si>
  <si>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</si>
  <si>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</si>
  <si>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</si>
  <si>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</si>
  <si>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</si>
  <si>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</si>
  <si>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</si>
  <si>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</si>
  <si>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</si>
  <si>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</si>
  <si>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</si>
  <si>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</si>
  <si>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</si>
  <si>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</si>
  <si>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</si>
  <si>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</si>
  <si>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Pads:</t>
  </si>
  <si>
    <t>Recontour ( Cat 315 B)</t>
  </si>
  <si>
    <t>depth of cut)</t>
  </si>
  <si>
    <t xml:space="preserve">Depth of cut (ft) </t>
  </si>
  <si>
    <t>Depth of cut (ft)</t>
  </si>
  <si>
    <t>Volume</t>
  </si>
  <si>
    <t>(#1-3 from</t>
  </si>
  <si>
    <t>Excavator</t>
  </si>
  <si>
    <t xml:space="preserve">Cat 315B (1yd) </t>
  </si>
  <si>
    <t>Cat 315 B</t>
  </si>
  <si>
    <t>Excavator (including std. bucket)</t>
  </si>
  <si>
    <t>Loader &lt;3.5 yd, farm tractor</t>
  </si>
  <si>
    <t xml:space="preserve">2.  Tire wear cost assumed at 16.5% of fuel cost where applicable.  Tire wear for farm tractor included in rental.  </t>
  </si>
  <si>
    <t xml:space="preserve">acre </t>
  </si>
  <si>
    <t>Farm tractor and disk</t>
  </si>
  <si>
    <t xml:space="preserve">Equipment Rental Rates </t>
  </si>
  <si>
    <t>Landfill fees</t>
  </si>
  <si>
    <t>Identify structure construction type by placing an X in the appropriate cell.</t>
  </si>
  <si>
    <t>Road cuts</t>
  </si>
  <si>
    <t>Road Cuts</t>
  </si>
  <si>
    <t>Replace  excav matl in cut  (315B)</t>
  </si>
  <si>
    <t>Road cuts (combined total)</t>
  </si>
  <si>
    <t>(Entry required)</t>
  </si>
  <si>
    <t>Road Cuts:</t>
  </si>
  <si>
    <t>Culverts:</t>
  </si>
  <si>
    <t>Refill with adjacent spoil piles.  Cover with available soil.  Revegetate.</t>
  </si>
  <si>
    <t>no/cu. yd.</t>
  </si>
  <si>
    <t>Disposal  fee, chemical</t>
  </si>
  <si>
    <t>Disposal  fee, water &amp; fuel</t>
  </si>
  <si>
    <t>If &lt;1000 cu. yd, fill.  If &gt;1000 cu. yd.,  construct  6' high berms along pit rim.  Revegetate all but steep pit walls,</t>
  </si>
  <si>
    <t>heavy equipment transport</t>
  </si>
  <si>
    <t>hr</t>
  </si>
  <si>
    <t>Equip. mob/demob hauling</t>
  </si>
  <si>
    <t>Cleared areas:</t>
  </si>
  <si>
    <t>Revegetate.</t>
  </si>
  <si>
    <t>Cleared Areas</t>
  </si>
  <si>
    <t>water/fuel</t>
  </si>
  <si>
    <t>Water or fuel</t>
  </si>
  <si>
    <t>Cleared areas</t>
  </si>
  <si>
    <t>Drill pads</t>
  </si>
  <si>
    <t>(average lengths &amp; widths)</t>
  </si>
  <si>
    <t>Drill Pads</t>
  </si>
  <si>
    <t xml:space="preserve"> height of top surfaces of dump)</t>
  </si>
  <si>
    <t>D6 SU</t>
  </si>
  <si>
    <t>Cat 938 (3yd)</t>
  </si>
  <si>
    <t>Cat 938 (3 yd)</t>
  </si>
  <si>
    <t>Op. Hrs.</t>
  </si>
  <si>
    <t xml:space="preserve">     Reinforced</t>
  </si>
  <si>
    <t>Pit 4</t>
  </si>
  <si>
    <t>Pit 5</t>
  </si>
  <si>
    <t>Pit 6</t>
  </si>
  <si>
    <t>Pit 7</t>
  </si>
  <si>
    <t>Pit 8</t>
  </si>
  <si>
    <t>Pit 9</t>
  </si>
  <si>
    <t>Pit 10</t>
  </si>
  <si>
    <t>Trench 4</t>
  </si>
  <si>
    <t>Trench 5</t>
  </si>
  <si>
    <t>Trench 6</t>
  </si>
  <si>
    <t>Trench 7</t>
  </si>
  <si>
    <t>Trench 8</t>
  </si>
  <si>
    <t>Trench 9</t>
  </si>
  <si>
    <t>Trench 10</t>
  </si>
  <si>
    <t xml:space="preserve">Total length of </t>
  </si>
  <si>
    <t>ft.</t>
  </si>
  <si>
    <t>$/ft</t>
  </si>
  <si>
    <t>Tanks, with liquid</t>
  </si>
  <si>
    <t>(list number of each type)</t>
  </si>
  <si>
    <t>Tanks, empty</t>
  </si>
  <si>
    <t>Tanks, empty steel</t>
  </si>
  <si>
    <t xml:space="preserve">     Total tons</t>
  </si>
  <si>
    <t xml:space="preserve">     Number </t>
  </si>
  <si>
    <t xml:space="preserve">     Haul (Commercial hauler)</t>
  </si>
  <si>
    <t>Demolish with loader, load and haul to landfill</t>
  </si>
  <si>
    <t>Disassemble, cut into manageable pieces, load and haul to landfill.</t>
  </si>
  <si>
    <t>Recontour and revegetate.</t>
  </si>
  <si>
    <t>lin ft/hr</t>
  </si>
  <si>
    <t>Drill pads (combined total)</t>
  </si>
  <si>
    <t>Distance to source of HC fill</t>
  </si>
  <si>
    <t>Cut reinforcement (torch)</t>
  </si>
  <si>
    <t>cu yd</t>
  </si>
  <si>
    <t>Demo large steel bldg (disassemble)</t>
  </si>
  <si>
    <t>Vehicles</t>
  </si>
  <si>
    <t xml:space="preserve">    Prep vehicle (batt, tires, fuel tank)</t>
  </si>
  <si>
    <t xml:space="preserve">    Haul (Commercial hauler)</t>
  </si>
  <si>
    <t>$/vehicle</t>
  </si>
  <si>
    <t>hr/vehicle</t>
  </si>
  <si>
    <t>/mile/load</t>
  </si>
  <si>
    <t>/mi/load</t>
  </si>
  <si>
    <t>Haul (Comercial hauler)</t>
  </si>
  <si>
    <t>Recontour (Cat D6 SU)</t>
  </si>
  <si>
    <t>Flatten slopes to 2:1 (Cat D6 SU)</t>
  </si>
  <si>
    <t>Rip dump top (Cat D6 SU)</t>
  </si>
  <si>
    <t>GP fill (Cat 938)</t>
  </si>
  <si>
    <t>HC fill (Cat 938)</t>
  </si>
  <si>
    <t>Shaft 4</t>
  </si>
  <si>
    <t>Shaft 5</t>
  </si>
  <si>
    <t>HC fill hauling</t>
  </si>
  <si>
    <t>Included above</t>
  </si>
  <si>
    <t>Dump 4</t>
  </si>
  <si>
    <t>Dump 5</t>
  </si>
  <si>
    <t>cu ft 4</t>
  </si>
  <si>
    <t>cu ft 5</t>
  </si>
  <si>
    <t>Total 1-5</t>
  </si>
  <si>
    <t>cu ft 1</t>
  </si>
  <si>
    <t>cu ft 2</t>
  </si>
  <si>
    <t>cu ft 3</t>
  </si>
  <si>
    <t>Haul (Commercial  hauler)</t>
  </si>
  <si>
    <t xml:space="preserve">    Seeding (tractor and seed drill)</t>
  </si>
  <si>
    <t xml:space="preserve">    Seed</t>
  </si>
  <si>
    <t>Disassemble (Manilift)</t>
  </si>
  <si>
    <t>Fill  or berm (Cat 938)</t>
  </si>
  <si>
    <t>Fill (Cat 938)</t>
  </si>
  <si>
    <t>Load (Cat 938)</t>
  </si>
  <si>
    <t>Spread (Cat D6 SU)</t>
  </si>
  <si>
    <t>Pile broken concrete (Cat 938)</t>
  </si>
  <si>
    <t>Load on trucks (Cat 938)</t>
  </si>
  <si>
    <t>Rip (D6 SU)</t>
  </si>
  <si>
    <t>Load  (Cat 938)</t>
  </si>
  <si>
    <t xml:space="preserve">    Demo small steel bldg (Cat 938)</t>
  </si>
  <si>
    <t>Demo block (Cat 938)</t>
  </si>
  <si>
    <t>Demo wood (Cat 938)</t>
  </si>
  <si>
    <t>Load block and wood (Cat 938)</t>
  </si>
  <si>
    <t>D6 total</t>
  </si>
  <si>
    <t>D6 Total</t>
  </si>
  <si>
    <t>938 Total</t>
  </si>
  <si>
    <t>436 Total</t>
  </si>
  <si>
    <t>Cleared areas (combined total)</t>
  </si>
  <si>
    <t>acre/hr</t>
  </si>
  <si>
    <t xml:space="preserve">    Disking (tractor and disk)</t>
  </si>
  <si>
    <t>hrs/adit</t>
  </si>
  <si>
    <t>cu yd/adit</t>
  </si>
  <si>
    <t>Haul (Commercial hauler)</t>
  </si>
  <si>
    <t>Loading, etc. (flat fee)</t>
  </si>
  <si>
    <t xml:space="preserve">     Crush and load (flat fee)</t>
  </si>
  <si>
    <t xml:space="preserve">Labor (except equip opn and flat fees) </t>
  </si>
  <si>
    <t>Disk and seed</t>
  </si>
  <si>
    <t>Crush with dozer, load, haul to landfill</t>
  </si>
  <si>
    <t>Load cover material (Cat 938)</t>
  </si>
  <si>
    <t>Push  excavated material back on to pad, recontour, revegetate.</t>
  </si>
  <si>
    <t>Push and recontour (Cat D6 SU)</t>
  </si>
  <si>
    <r>
      <t xml:space="preserve">   </t>
    </r>
    <r>
      <rPr>
        <sz val="14"/>
        <rFont val="Arial"/>
        <family val="2"/>
      </rPr>
      <t>Unreinforced</t>
    </r>
  </si>
  <si>
    <t>HAZMAT site assessment, testing ,removal, etc.</t>
  </si>
  <si>
    <t>Dump 6</t>
  </si>
  <si>
    <t>Dump 7</t>
  </si>
  <si>
    <t>Dump 8</t>
  </si>
  <si>
    <t>Dump 9</t>
  </si>
  <si>
    <t>Dump 10</t>
  </si>
  <si>
    <t>Intl 4200</t>
  </si>
  <si>
    <t>New Holland TM70</t>
  </si>
  <si>
    <t xml:space="preserve">Note: Different models can be used for a particular job.  The model selected for inclusion in this spreadsheet is adequate for most jobs, not necessarily </t>
  </si>
  <si>
    <t>Cement grout tremied from bottom of hole to collar.</t>
  </si>
  <si>
    <t>Highwalls</t>
  </si>
  <si>
    <t>Blasting required?</t>
  </si>
  <si>
    <t>HW 1</t>
  </si>
  <si>
    <t>HW 2</t>
  </si>
  <si>
    <t xml:space="preserve">HW 3 </t>
  </si>
  <si>
    <t>HW 4</t>
  </si>
  <si>
    <t>Drilling and blasting</t>
  </si>
  <si>
    <t xml:space="preserve">    Load (Flat fee)</t>
  </si>
  <si>
    <r>
      <t>HAZMAT site assessment, testing</t>
    </r>
    <r>
      <rPr>
        <b/>
        <sz val="10"/>
        <rFont val="Arial"/>
        <family val="2"/>
      </rPr>
      <t xml:space="preserve"> </t>
    </r>
  </si>
  <si>
    <t>(Yes or No)</t>
  </si>
  <si>
    <t>Remove culverts, slope sides of excavation, line bottom and sides with riprap (concrete culvert assumed).</t>
  </si>
  <si>
    <t>If rippable, rip and push highwall into pit to form 3:1 slope.  If not rippable, drill, blast and push highwall into pit.</t>
  </si>
  <si>
    <t xml:space="preserve">Install timber bulkheads at horiz openings to shaft.  Fill shaft with hardcore (HC) fill to static water level. Install </t>
  </si>
  <si>
    <t xml:space="preserve">Disassemble (Crane) </t>
  </si>
  <si>
    <t xml:space="preserve">Disassemble (Ironworker) </t>
  </si>
  <si>
    <t xml:space="preserve">     Tank 1</t>
  </si>
  <si>
    <t xml:space="preserve">     Tank 2</t>
  </si>
  <si>
    <t xml:space="preserve">     Tank 3</t>
  </si>
  <si>
    <t xml:space="preserve">     Tank 4</t>
  </si>
  <si>
    <t xml:space="preserve">     Tank 5</t>
  </si>
  <si>
    <t xml:space="preserve">     Tank 6</t>
  </si>
  <si>
    <t>$/ton mile</t>
  </si>
  <si>
    <t>/mi/15 tires</t>
  </si>
  <si>
    <t>$/mi/60 tires</t>
  </si>
  <si>
    <t>Load and haul to approved landfill.</t>
  </si>
  <si>
    <t>160 hrs</t>
  </si>
  <si>
    <t>Fringes</t>
  </si>
  <si>
    <t>Haul (commercial  hauler)</t>
  </si>
  <si>
    <t>Contractor admin costs , % of direct costs</t>
  </si>
  <si>
    <t>Contractor admin costs , % of subcontract &amp; materials costs</t>
  </si>
  <si>
    <t>Additional User Input (Continuation Sheet)</t>
  </si>
  <si>
    <t>Seed (16#/A) Granite Seed quote</t>
  </si>
  <si>
    <t>Fixed cost</t>
  </si>
  <si>
    <t xml:space="preserve">Total depth of </t>
  </si>
  <si>
    <t>all water wells (ft)</t>
  </si>
  <si>
    <t>all drill holes (ft)</t>
  </si>
  <si>
    <t>Fixed costs</t>
  </si>
  <si>
    <t>Cost per foot</t>
  </si>
  <si>
    <t xml:space="preserve">   Fixed costs</t>
  </si>
  <si>
    <t xml:space="preserve">   Cost per foot</t>
  </si>
  <si>
    <t>Water well abandonment</t>
  </si>
  <si>
    <t>Drill hole abandonment</t>
  </si>
  <si>
    <t>Non-metal trash and scrap</t>
  </si>
  <si>
    <t>Cat 246</t>
  </si>
  <si>
    <t>770 (40t)</t>
  </si>
  <si>
    <t>Compressor, hammer &amp; hose</t>
  </si>
  <si>
    <t>I-R (185 cfm)</t>
  </si>
  <si>
    <t>Dozer</t>
  </si>
  <si>
    <t xml:space="preserve">   Backhoe loader</t>
  </si>
  <si>
    <t xml:space="preserve">   Grader</t>
  </si>
  <si>
    <r>
      <t xml:space="preserve">NOTE:  USE THIS SPREADSHEET ONLY IF YOUR TOTAL DISTURBANCE IS LESS THAN 20 ACRES </t>
    </r>
    <r>
      <rPr>
        <b/>
        <u/>
        <sz val="14"/>
        <rFont val="Arial"/>
        <family val="2"/>
      </rPr>
      <t>AND</t>
    </r>
    <r>
      <rPr>
        <b/>
        <sz val="14"/>
        <rFont val="Arial"/>
        <family val="2"/>
      </rPr>
      <t xml:space="preserve"> AN AQUIFER</t>
    </r>
  </si>
  <si>
    <r>
      <t xml:space="preserve">   PROTECTION PERMIT IS </t>
    </r>
    <r>
      <rPr>
        <b/>
        <u/>
        <sz val="14"/>
        <rFont val="Arial"/>
        <family val="2"/>
      </rPr>
      <t>NOT</t>
    </r>
    <r>
      <rPr>
        <b/>
        <sz val="14"/>
        <rFont val="Arial"/>
        <family val="2"/>
      </rPr>
      <t xml:space="preserve"> REQUIRED.</t>
    </r>
  </si>
  <si>
    <t>by ton</t>
  </si>
  <si>
    <t xml:space="preserve">Commercial hauling, by legal load </t>
  </si>
  <si>
    <t>Cat 246 skid-steer loader</t>
  </si>
  <si>
    <t>Cat 315 excavator</t>
  </si>
  <si>
    <t>Cat 938 wheel loader</t>
  </si>
  <si>
    <t>Cat D6 dozer</t>
  </si>
  <si>
    <t>Cat 770 haul truck</t>
  </si>
  <si>
    <t>New Holland TM70 tractor w/disk</t>
  </si>
  <si>
    <t>I-R Compressor, hammer &amp; hose</t>
  </si>
  <si>
    <t>International 4200 truck crane</t>
  </si>
  <si>
    <t xml:space="preserve">        compressor &amp; air hammer)</t>
  </si>
  <si>
    <t>Miscellaneous</t>
  </si>
  <si>
    <t xml:space="preserve">    Water truck</t>
  </si>
  <si>
    <t>Fill (Cat 246)</t>
  </si>
  <si>
    <t>Height (ft)</t>
  </si>
  <si>
    <t>Diameter (ft)</t>
  </si>
  <si>
    <t>(average lengths, diameter</t>
  </si>
  <si>
    <t>and depth of burial)</t>
  </si>
  <si>
    <t>Thickness (in)</t>
  </si>
  <si>
    <t>(Greater than 55 gal.)</t>
  </si>
  <si>
    <t>Steel?</t>
  </si>
  <si>
    <t>Block?</t>
  </si>
  <si>
    <t>Wood?</t>
  </si>
  <si>
    <t>Flatten slopes to 3:1 (Cat D6 SU)</t>
  </si>
  <si>
    <t xml:space="preserve">Flatten faces to 3:1.  Rip top surface.   Revegetate top and faces.  </t>
  </si>
  <si>
    <t>(average length, width, face ht.)</t>
  </si>
  <si>
    <t>Flatten slope to 3:1(Cat D6)</t>
  </si>
  <si>
    <t>Haul cover material (Cat 770)</t>
  </si>
  <si>
    <t xml:space="preserve">   Compressor, air hammer, hose</t>
  </si>
  <si>
    <t>cu cy/hr</t>
  </si>
  <si>
    <t>Manlift</t>
  </si>
  <si>
    <t xml:space="preserve">   (Steel tanks, not drums)</t>
  </si>
  <si>
    <t>315 Total</t>
  </si>
  <si>
    <t>Forklift Total</t>
  </si>
  <si>
    <t>Air hammer labor</t>
  </si>
  <si>
    <t>Installation labor</t>
  </si>
  <si>
    <t>Cut and fold liner (labor)</t>
  </si>
  <si>
    <t>Pump and dispose of sludge (flat fee)</t>
  </si>
  <si>
    <t>Drilling &amp; blasting (contract cost)</t>
  </si>
  <si>
    <t>Misc. hauling</t>
  </si>
  <si>
    <t xml:space="preserve">Manlift </t>
  </si>
  <si>
    <t>Motor grader</t>
  </si>
  <si>
    <t>Disposal fees (contract)</t>
  </si>
  <si>
    <t>(ave. length, width and depth</t>
  </si>
  <si>
    <t>(cu ft)</t>
  </si>
  <si>
    <t>(sq ft)</t>
  </si>
  <si>
    <t>of cut at highwall)</t>
  </si>
  <si>
    <t>Bond premium, 3% of direct costs</t>
  </si>
  <si>
    <t>Contractor profit, % of direct costs</t>
  </si>
  <si>
    <t>BLM contract management fee, % of contract total</t>
  </si>
  <si>
    <t>Water well closure</t>
  </si>
  <si>
    <t>Drill hole closure</t>
  </si>
  <si>
    <t>(Place an "x" in this box if testing is required)</t>
  </si>
  <si>
    <t>Contingency, % of contract total for projects over $100,000</t>
  </si>
  <si>
    <t>(enter add'l cuts on Continuation page)</t>
  </si>
  <si>
    <t>(enter add'l areas on Continuation page)</t>
  </si>
  <si>
    <t>(enter add'l pads on Continuation page</t>
  </si>
  <si>
    <t>Note:  Dimensions can be added to yellow cells only.  White cells are calculated automatically</t>
  </si>
  <si>
    <t>Highwalls:</t>
  </si>
  <si>
    <t>Water or silt ponds:</t>
  </si>
  <si>
    <t>Water wells:</t>
  </si>
  <si>
    <t>Drill holes:</t>
  </si>
  <si>
    <t>Asphalt:</t>
  </si>
  <si>
    <t>Structures, steel, large &gt;4000 cu ft:</t>
  </si>
  <si>
    <t>Structures, steel, small &lt;4000cu ft:</t>
  </si>
  <si>
    <t>Structures, wood and block:</t>
  </si>
  <si>
    <t>Septic tanks:</t>
  </si>
  <si>
    <t>Trailers:</t>
  </si>
  <si>
    <t>Tanks, empty steel:</t>
  </si>
  <si>
    <t>Tanks, with liquid:</t>
  </si>
  <si>
    <t>Tires:</t>
  </si>
  <si>
    <t>Chemical drums:</t>
  </si>
  <si>
    <t>Fuel/oil/lube drums:</t>
  </si>
  <si>
    <t>Explosives:</t>
  </si>
  <si>
    <t>Debris, trash, scrap:</t>
  </si>
  <si>
    <t>Revegetation:</t>
  </si>
  <si>
    <t>Revised 1/31/2012</t>
  </si>
  <si>
    <t>Labor Rates (Davis Bacon General Decision AZ100010 12/09/11 where available)</t>
  </si>
  <si>
    <t>optimum.  Rental rates are current as of January 2012.</t>
  </si>
  <si>
    <t>4.  Offroad fuel cost from Western States Petroleum 12/19/11.  Note: price varies daily and delivered price depends on distance from distributor.</t>
  </si>
  <si>
    <t>Tire/track</t>
  </si>
  <si>
    <t>Cat 420 (16')</t>
  </si>
  <si>
    <t>Cat TL642 (6500 lb)</t>
  </si>
  <si>
    <t>Kenworth 4000 gal</t>
  </si>
  <si>
    <t>Sullair 375H (375cfm)</t>
  </si>
  <si>
    <t>Genie S45 (45')</t>
  </si>
  <si>
    <t>New Holland TL80</t>
  </si>
  <si>
    <t>Genie S45 Manlift</t>
  </si>
  <si>
    <t>Empty fuel, oil, lube drums</t>
  </si>
  <si>
    <t>Pull excavated material back into cut, recontour, revegetate.</t>
  </si>
  <si>
    <t>Concrete slabs &amp; foundations:</t>
  </si>
  <si>
    <t xml:space="preserve">   (average length and height)</t>
  </si>
  <si>
    <t xml:space="preserve">Excavate,  fill (Cat 420) </t>
  </si>
  <si>
    <t>Cat 420 backhoe loader</t>
  </si>
  <si>
    <t>Excavation (Cat 420)</t>
  </si>
  <si>
    <t>Rockwork (Cat 420)</t>
  </si>
  <si>
    <t>Break unreinforced slab (Cat 938,</t>
  </si>
  <si>
    <t>Break reinforced slab (Cat 938,</t>
  </si>
  <si>
    <t>Break foundations (Cat 938,</t>
  </si>
  <si>
    <t>Cat TL 642</t>
  </si>
  <si>
    <t>Load (Cat TL642)</t>
  </si>
  <si>
    <t>Load steel (Cat TL642)</t>
  </si>
  <si>
    <t>Cat TL642 forklift</t>
  </si>
  <si>
    <t>Kenworth 4000 gal water truck</t>
  </si>
  <si>
    <t>Comp. Total</t>
  </si>
  <si>
    <t>Recylable metal scrap</t>
  </si>
  <si>
    <t>Recyclable metal scrap</t>
  </si>
  <si>
    <t>/ton mile</t>
  </si>
  <si>
    <t xml:space="preserve"> plus footage cost</t>
  </si>
  <si>
    <t>per foot</t>
  </si>
  <si>
    <t>Drillhole abandonment</t>
  </si>
  <si>
    <t>plus footage cost</t>
  </si>
  <si>
    <t>(value as scrap)</t>
  </si>
  <si>
    <t>Input sheet)</t>
  </si>
  <si>
    <t xml:space="preserve">Input </t>
  </si>
  <si>
    <t>sheet)</t>
  </si>
  <si>
    <t>Dino 1800 (18t)</t>
  </si>
  <si>
    <t>Empire, Bingham and Guiffre rates increased to include sales tax (9%) and equipment protection plan/insurance (14%).</t>
  </si>
  <si>
    <t>Truck crane</t>
  </si>
  <si>
    <t>Entry required for shafts with water</t>
  </si>
  <si>
    <t>`</t>
  </si>
  <si>
    <t>Mobile equipment &amp; vehicles</t>
  </si>
  <si>
    <t>(Crushers, conveyors,screens, steel scrap, etc.)</t>
  </si>
  <si>
    <t>(Includes cars, trucks, dozers, etc.)</t>
  </si>
  <si>
    <t>Mobile equipment and vehicles</t>
  </si>
  <si>
    <t>Vehicles and mobile equipment</t>
  </si>
  <si>
    <t>Load and haul to metal recycler.</t>
  </si>
  <si>
    <t>(Empire Rental, Bingham Equipment Co. Desert Trucking and Guiffre Bros. Crane quotes)</t>
  </si>
  <si>
    <t xml:space="preserve">Tanks (not 55 gal drums), with liquid </t>
  </si>
  <si>
    <t>Chemicals in drums/bags (Contract)</t>
  </si>
  <si>
    <t xml:space="preserve">    Grading (Cat 120)</t>
  </si>
  <si>
    <t>Cat 120 motor grader</t>
  </si>
  <si>
    <t xml:space="preserve">     Recycle (no fee for recycling)</t>
  </si>
  <si>
    <t>Recycle 9no fee for recycling)</t>
  </si>
  <si>
    <t xml:space="preserve">    Recycle (no fee for recycling)</t>
  </si>
  <si>
    <t>HC fill purchase and hauling</t>
  </si>
  <si>
    <t>been removed for processing</t>
  </si>
  <si>
    <t>or sale.</t>
  </si>
  <si>
    <t xml:space="preserve">  Generally deep excavation with </t>
  </si>
  <si>
    <t>length and width similar.</t>
  </si>
  <si>
    <t xml:space="preserve">  Much excavated material has </t>
  </si>
  <si>
    <t xml:space="preserve">  Generally shallow excavation</t>
  </si>
  <si>
    <t>with length much larger than</t>
  </si>
  <si>
    <t xml:space="preserve">width.  Excavated material is </t>
  </si>
  <si>
    <t>generally available nearby for</t>
  </si>
  <si>
    <t>refilling.</t>
  </si>
  <si>
    <t>Drill holes *</t>
  </si>
  <si>
    <t>* All drill holes are treated the same (wet or dry).  Costs are calculated for neat cement grout tremied from bottom to top of a hole.  This meets ADWR worst case closure standards.</t>
  </si>
</sst>
</file>

<file path=xl/styles.xml><?xml version="1.0" encoding="utf-8"?>
<styleSheet xmlns="http://schemas.openxmlformats.org/spreadsheetml/2006/main">
  <numFmts count="8">
    <numFmt numFmtId="6" formatCode="&quot;$&quot;#,##0_);[Red]\(&quot;$&quot;#,##0\)"/>
    <numFmt numFmtId="8" formatCode="&quot;$&quot;#,##0.00_);[Red]\(&quot;$&quot;#,##0.00\)"/>
    <numFmt numFmtId="164" formatCode="0.0%"/>
    <numFmt numFmtId="165" formatCode="&quot;$&quot;#,##0"/>
    <numFmt numFmtId="166" formatCode="&quot;$&quot;#,##0.00"/>
    <numFmt numFmtId="167" formatCode="#,##0.0"/>
    <numFmt numFmtId="168" formatCode=";;;"/>
    <numFmt numFmtId="169" formatCode="0.0"/>
  </numFmts>
  <fonts count="26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u/>
      <sz val="14"/>
      <name val="Arial"/>
      <family val="2"/>
    </font>
    <font>
      <b/>
      <u/>
      <sz val="14"/>
      <name val="Arial"/>
      <family val="2"/>
    </font>
    <font>
      <sz val="14"/>
      <color indexed="8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sz val="14"/>
      <name val="Arial"/>
      <family val="2"/>
    </font>
    <font>
      <sz val="18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7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 style="medium">
        <color indexed="64"/>
      </right>
      <top/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dotted">
        <color indexed="64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22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5" fillId="2" borderId="0" xfId="0" applyFont="1" applyFill="1" applyBorder="1" applyAlignment="1">
      <alignment horizontal="center"/>
    </xf>
    <xf numFmtId="1" fontId="0" fillId="0" borderId="0" xfId="0" applyNumberFormat="1"/>
    <xf numFmtId="1" fontId="2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Fill="1" applyBorder="1"/>
    <xf numFmtId="0" fontId="0" fillId="0" borderId="0" xfId="0" applyBorder="1" applyAlignment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2" fillId="0" borderId="4" xfId="0" applyFont="1" applyBorder="1"/>
    <xf numFmtId="0" fontId="2" fillId="0" borderId="5" xfId="0" applyFont="1" applyBorder="1"/>
    <xf numFmtId="2" fontId="0" fillId="0" borderId="0" xfId="0" applyNumberFormat="1" applyBorder="1"/>
    <xf numFmtId="0" fontId="0" fillId="0" borderId="6" xfId="0" applyBorder="1"/>
    <xf numFmtId="0" fontId="8" fillId="0" borderId="2" xfId="0" applyFont="1" applyBorder="1"/>
    <xf numFmtId="0" fontId="0" fillId="0" borderId="0" xfId="0" applyBorder="1" applyAlignment="1">
      <alignment horizontal="right"/>
    </xf>
    <xf numFmtId="1" fontId="0" fillId="0" borderId="0" xfId="0" applyNumberFormat="1" applyBorder="1"/>
    <xf numFmtId="1" fontId="0" fillId="0" borderId="5" xfId="0" applyNumberFormat="1" applyBorder="1"/>
    <xf numFmtId="1" fontId="2" fillId="0" borderId="5" xfId="0" applyNumberFormat="1" applyFont="1" applyBorder="1"/>
    <xf numFmtId="0" fontId="3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0" fillId="0" borderId="5" xfId="0" applyBorder="1" applyAlignment="1">
      <alignment horizontal="right"/>
    </xf>
    <xf numFmtId="3" fontId="0" fillId="0" borderId="0" xfId="0" applyNumberFormat="1" applyBorder="1"/>
    <xf numFmtId="0" fontId="0" fillId="0" borderId="4" xfId="0" applyBorder="1" applyAlignment="1">
      <alignment horizontal="left" indent="2"/>
    </xf>
    <xf numFmtId="38" fontId="0" fillId="0" borderId="0" xfId="0" applyNumberFormat="1" applyBorder="1"/>
    <xf numFmtId="1" fontId="0" fillId="0" borderId="7" xfId="0" applyNumberFormat="1" applyBorder="1"/>
    <xf numFmtId="0" fontId="9" fillId="0" borderId="9" xfId="0" applyFont="1" applyBorder="1"/>
    <xf numFmtId="0" fontId="10" fillId="0" borderId="4" xfId="0" applyFont="1" applyBorder="1"/>
    <xf numFmtId="0" fontId="0" fillId="2" borderId="0" xfId="0" applyFill="1"/>
    <xf numFmtId="0" fontId="4" fillId="0" borderId="4" xfId="0" applyFont="1" applyBorder="1"/>
    <xf numFmtId="0" fontId="2" fillId="0" borderId="0" xfId="0" applyFont="1" applyBorder="1" applyAlignment="1">
      <alignment horizontal="right"/>
    </xf>
    <xf numFmtId="0" fontId="3" fillId="0" borderId="4" xfId="0" applyFont="1" applyBorder="1" applyAlignment="1">
      <alignment horizontal="left" indent="1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0" fillId="0" borderId="6" xfId="0" applyFont="1" applyBorder="1"/>
    <xf numFmtId="0" fontId="0" fillId="0" borderId="0" xfId="0" applyAlignment="1"/>
    <xf numFmtId="0" fontId="0" fillId="0" borderId="7" xfId="0" applyBorder="1" applyAlignment="1">
      <alignment horizontal="left" indent="1"/>
    </xf>
    <xf numFmtId="0" fontId="1" fillId="0" borderId="0" xfId="0" applyFont="1" applyBorder="1"/>
    <xf numFmtId="166" fontId="0" fillId="0" borderId="5" xfId="0" applyNumberFormat="1" applyBorder="1"/>
    <xf numFmtId="166" fontId="0" fillId="0" borderId="0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0" fontId="1" fillId="0" borderId="0" xfId="0" applyFont="1"/>
    <xf numFmtId="0" fontId="5" fillId="3" borderId="10" xfId="0" applyFon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8" fontId="0" fillId="0" borderId="0" xfId="0" applyNumberFormat="1" applyBorder="1"/>
    <xf numFmtId="0" fontId="0" fillId="0" borderId="4" xfId="0" applyBorder="1" applyAlignment="1"/>
    <xf numFmtId="1" fontId="0" fillId="0" borderId="5" xfId="0" applyNumberFormat="1" applyFill="1" applyBorder="1"/>
    <xf numFmtId="0" fontId="0" fillId="0" borderId="0" xfId="0" applyFill="1"/>
    <xf numFmtId="165" fontId="0" fillId="0" borderId="0" xfId="0" applyNumberFormat="1" applyBorder="1"/>
    <xf numFmtId="165" fontId="0" fillId="0" borderId="5" xfId="0" applyNumberFormat="1" applyBorder="1"/>
    <xf numFmtId="165" fontId="3" fillId="0" borderId="5" xfId="0" applyNumberFormat="1" applyFont="1" applyBorder="1"/>
    <xf numFmtId="165" fontId="2" fillId="0" borderId="5" xfId="0" applyNumberFormat="1" applyFont="1" applyBorder="1"/>
    <xf numFmtId="165" fontId="2" fillId="0" borderId="0" xfId="0" applyNumberFormat="1" applyFont="1" applyBorder="1"/>
    <xf numFmtId="169" fontId="0" fillId="0" borderId="0" xfId="0" applyNumberFormat="1" applyBorder="1"/>
    <xf numFmtId="0" fontId="15" fillId="3" borderId="10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Protection="1"/>
    <xf numFmtId="0" fontId="7" fillId="3" borderId="11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 indent="2"/>
    </xf>
    <xf numFmtId="0" fontId="7" fillId="3" borderId="14" xfId="0" applyFont="1" applyFill="1" applyBorder="1" applyAlignment="1" applyProtection="1">
      <alignment horizontal="center"/>
      <protection locked="0"/>
    </xf>
    <xf numFmtId="0" fontId="15" fillId="3" borderId="12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15" fillId="3" borderId="11" xfId="0" applyFont="1" applyFill="1" applyBorder="1" applyAlignment="1" applyProtection="1">
      <alignment horizontal="center"/>
      <protection locked="0"/>
    </xf>
    <xf numFmtId="165" fontId="19" fillId="5" borderId="15" xfId="0" applyNumberFormat="1" applyFont="1" applyFill="1" applyBorder="1" applyAlignment="1" applyProtection="1">
      <alignment horizontal="center"/>
    </xf>
    <xf numFmtId="0" fontId="15" fillId="3" borderId="16" xfId="0" applyFont="1" applyFill="1" applyBorder="1" applyAlignment="1" applyProtection="1">
      <alignment horizontal="center"/>
      <protection locked="0"/>
    </xf>
    <xf numFmtId="0" fontId="0" fillId="0" borderId="6" xfId="0" applyFill="1" applyBorder="1"/>
    <xf numFmtId="0" fontId="0" fillId="0" borderId="4" xfId="0" applyFill="1" applyBorder="1" applyAlignment="1">
      <alignment horizontal="left" indent="2"/>
    </xf>
    <xf numFmtId="0" fontId="1" fillId="0" borderId="4" xfId="0" applyFont="1" applyFill="1" applyBorder="1"/>
    <xf numFmtId="2" fontId="0" fillId="0" borderId="0" xfId="0" applyNumberFormat="1" applyFill="1" applyBorder="1"/>
    <xf numFmtId="1" fontId="0" fillId="0" borderId="0" xfId="0" applyNumberFormat="1" applyFill="1" applyBorder="1"/>
    <xf numFmtId="169" fontId="0" fillId="0" borderId="0" xfId="0" applyNumberFormat="1" applyFill="1" applyBorder="1"/>
    <xf numFmtId="0" fontId="0" fillId="0" borderId="4" xfId="0" applyFill="1" applyBorder="1" applyAlignment="1">
      <alignment horizontal="left" indent="1"/>
    </xf>
    <xf numFmtId="0" fontId="0" fillId="0" borderId="4" xfId="0" applyFill="1" applyBorder="1"/>
    <xf numFmtId="166" fontId="0" fillId="0" borderId="0" xfId="0" applyNumberFormat="1" applyFill="1" applyBorder="1"/>
    <xf numFmtId="166" fontId="0" fillId="0" borderId="7" xfId="0" applyNumberFormat="1" applyFill="1" applyBorder="1" applyProtection="1"/>
    <xf numFmtId="0" fontId="3" fillId="0" borderId="4" xfId="0" applyFont="1" applyFill="1" applyBorder="1"/>
    <xf numFmtId="0" fontId="1" fillId="0" borderId="4" xfId="0" applyFont="1" applyFill="1" applyBorder="1" applyAlignment="1">
      <alignment horizontal="left"/>
    </xf>
    <xf numFmtId="166" fontId="0" fillId="0" borderId="0" xfId="0" applyNumberFormat="1" applyFill="1" applyBorder="1" applyProtection="1"/>
    <xf numFmtId="8" fontId="0" fillId="0" borderId="0" xfId="0" applyNumberFormat="1"/>
    <xf numFmtId="166" fontId="0" fillId="0" borderId="4" xfId="0" applyNumberFormat="1" applyBorder="1"/>
    <xf numFmtId="0" fontId="7" fillId="2" borderId="24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7" fillId="3" borderId="25" xfId="0" applyFont="1" applyFill="1" applyBorder="1" applyAlignment="1" applyProtection="1">
      <alignment horizontal="center"/>
      <protection locked="0"/>
    </xf>
    <xf numFmtId="0" fontId="7" fillId="0" borderId="28" xfId="0" applyFont="1" applyBorder="1" applyProtection="1"/>
    <xf numFmtId="0" fontId="7" fillId="0" borderId="22" xfId="0" applyFont="1" applyBorder="1" applyAlignment="1" applyProtection="1">
      <alignment horizontal="center"/>
    </xf>
    <xf numFmtId="0" fontId="7" fillId="2" borderId="29" xfId="0" applyFont="1" applyFill="1" applyBorder="1" applyAlignment="1" applyProtection="1">
      <alignment horizontal="center"/>
    </xf>
    <xf numFmtId="0" fontId="7" fillId="2" borderId="30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left" indent="2"/>
    </xf>
    <xf numFmtId="0" fontId="7" fillId="2" borderId="31" xfId="0" applyFont="1" applyFill="1" applyBorder="1" applyAlignment="1" applyProtection="1">
      <alignment horizontal="left"/>
    </xf>
    <xf numFmtId="0" fontId="15" fillId="3" borderId="14" xfId="0" applyFont="1" applyFill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</xf>
    <xf numFmtId="0" fontId="7" fillId="2" borderId="18" xfId="0" applyFont="1" applyFill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7" fillId="3" borderId="39" xfId="0" applyFont="1" applyFill="1" applyBorder="1" applyAlignment="1" applyProtection="1">
      <alignment horizontal="center"/>
      <protection locked="0"/>
    </xf>
    <xf numFmtId="0" fontId="4" fillId="0" borderId="0" xfId="0" applyFont="1" applyBorder="1"/>
    <xf numFmtId="0" fontId="1" fillId="0" borderId="0" xfId="0" applyFont="1" applyFill="1" applyBorder="1"/>
    <xf numFmtId="166" fontId="0" fillId="2" borderId="44" xfId="0" applyNumberFormat="1" applyFill="1" applyBorder="1"/>
    <xf numFmtId="166" fontId="0" fillId="2" borderId="45" xfId="0" applyNumberFormat="1" applyFill="1" applyBorder="1"/>
    <xf numFmtId="167" fontId="0" fillId="2" borderId="46" xfId="0" applyNumberFormat="1" applyFill="1" applyBorder="1"/>
    <xf numFmtId="166" fontId="0" fillId="2" borderId="47" xfId="0" applyNumberFormat="1" applyFill="1" applyBorder="1"/>
    <xf numFmtId="166" fontId="0" fillId="2" borderId="48" xfId="0" applyNumberFormat="1" applyFill="1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1" fontId="3" fillId="0" borderId="0" xfId="0" applyNumberFormat="1" applyFont="1" applyBorder="1"/>
    <xf numFmtId="166" fontId="3" fillId="0" borderId="0" xfId="0" applyNumberFormat="1" applyFont="1" applyBorder="1"/>
    <xf numFmtId="1" fontId="0" fillId="0" borderId="8" xfId="0" applyNumberFormat="1" applyBorder="1"/>
    <xf numFmtId="0" fontId="0" fillId="0" borderId="43" xfId="0" applyBorder="1"/>
    <xf numFmtId="1" fontId="0" fillId="0" borderId="43" xfId="0" applyNumberFormat="1" applyBorder="1"/>
    <xf numFmtId="1" fontId="0" fillId="0" borderId="43" xfId="0" applyNumberFormat="1" applyFill="1" applyBorder="1"/>
    <xf numFmtId="1" fontId="3" fillId="0" borderId="5" xfId="0" applyNumberFormat="1" applyFont="1" applyBorder="1"/>
    <xf numFmtId="1" fontId="3" fillId="0" borderId="5" xfId="0" applyNumberFormat="1" applyFont="1" applyFill="1" applyBorder="1"/>
    <xf numFmtId="0" fontId="3" fillId="0" borderId="4" xfId="0" applyFont="1" applyBorder="1" applyAlignment="1">
      <alignment horizontal="left" indent="2"/>
    </xf>
    <xf numFmtId="169" fontId="0" fillId="0" borderId="52" xfId="0" applyNumberFormat="1" applyFill="1" applyBorder="1"/>
    <xf numFmtId="169" fontId="0" fillId="0" borderId="53" xfId="0" applyNumberFormat="1" applyFill="1" applyBorder="1"/>
    <xf numFmtId="169" fontId="0" fillId="0" borderId="54" xfId="0" applyNumberFormat="1" applyFill="1" applyBorder="1"/>
    <xf numFmtId="0" fontId="3" fillId="0" borderId="5" xfId="0" applyFont="1" applyBorder="1"/>
    <xf numFmtId="1" fontId="24" fillId="0" borderId="0" xfId="0" applyNumberFormat="1" applyFont="1" applyFill="1"/>
    <xf numFmtId="0" fontId="0" fillId="0" borderId="0" xfId="0" applyFill="1" applyBorder="1" applyProtection="1"/>
    <xf numFmtId="9" fontId="0" fillId="0" borderId="0" xfId="0" applyNumberFormat="1" applyFill="1" applyBorder="1" applyProtection="1"/>
    <xf numFmtId="164" fontId="0" fillId="0" borderId="0" xfId="0" applyNumberFormat="1" applyFill="1" applyBorder="1" applyProtection="1"/>
    <xf numFmtId="0" fontId="0" fillId="0" borderId="55" xfId="0" applyFill="1" applyBorder="1"/>
    <xf numFmtId="0" fontId="0" fillId="0" borderId="44" xfId="0" applyFill="1" applyBorder="1"/>
    <xf numFmtId="166" fontId="0" fillId="0" borderId="44" xfId="0" applyNumberFormat="1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166" fontId="0" fillId="0" borderId="47" xfId="0" applyNumberFormat="1" applyFill="1" applyBorder="1"/>
    <xf numFmtId="0" fontId="0" fillId="0" borderId="48" xfId="0" applyFill="1" applyBorder="1"/>
    <xf numFmtId="166" fontId="0" fillId="0" borderId="46" xfId="0" applyNumberFormat="1" applyFill="1" applyBorder="1" applyProtection="1"/>
    <xf numFmtId="166" fontId="0" fillId="0" borderId="47" xfId="0" applyNumberFormat="1" applyFill="1" applyBorder="1" applyProtection="1"/>
    <xf numFmtId="166" fontId="0" fillId="0" borderId="56" xfId="0" applyNumberFormat="1" applyFill="1" applyBorder="1" applyProtection="1"/>
    <xf numFmtId="166" fontId="0" fillId="0" borderId="57" xfId="0" applyNumberFormat="1" applyFill="1" applyBorder="1" applyProtection="1"/>
    <xf numFmtId="166" fontId="0" fillId="0" borderId="57" xfId="0" applyNumberFormat="1" applyFill="1" applyBorder="1"/>
    <xf numFmtId="0" fontId="0" fillId="0" borderId="58" xfId="0" applyFill="1" applyBorder="1"/>
    <xf numFmtId="0" fontId="3" fillId="0" borderId="6" xfId="0" applyFont="1" applyFill="1" applyBorder="1"/>
    <xf numFmtId="0" fontId="3" fillId="0" borderId="7" xfId="0" applyFont="1" applyBorder="1"/>
    <xf numFmtId="0" fontId="0" fillId="0" borderId="0" xfId="0" applyFont="1" applyFill="1" applyBorder="1"/>
    <xf numFmtId="1" fontId="0" fillId="0" borderId="0" xfId="0" applyNumberFormat="1" applyFill="1"/>
    <xf numFmtId="165" fontId="0" fillId="0" borderId="0" xfId="0" applyNumberFormat="1" applyFill="1" applyBorder="1"/>
    <xf numFmtId="165" fontId="0" fillId="0" borderId="0" xfId="0" applyNumberFormat="1" applyFill="1"/>
    <xf numFmtId="165" fontId="3" fillId="0" borderId="0" xfId="0" applyNumberFormat="1" applyFont="1" applyFill="1" applyBorder="1"/>
    <xf numFmtId="165" fontId="3" fillId="7" borderId="8" xfId="0" applyNumberFormat="1" applyFont="1" applyFill="1" applyBorder="1"/>
    <xf numFmtId="1" fontId="3" fillId="0" borderId="4" xfId="0" applyNumberFormat="1" applyFont="1" applyBorder="1"/>
    <xf numFmtId="0" fontId="7" fillId="8" borderId="0" xfId="0" applyFont="1" applyFill="1" applyBorder="1" applyAlignment="1" applyProtection="1">
      <alignment horizontal="center"/>
    </xf>
    <xf numFmtId="169" fontId="2" fillId="0" borderId="0" xfId="0" applyNumberFormat="1" applyFont="1" applyFill="1" applyBorder="1"/>
    <xf numFmtId="169" fontId="0" fillId="0" borderId="0" xfId="0" applyNumberFormat="1" applyFill="1" applyBorder="1" applyAlignment="1">
      <alignment horizontal="right"/>
    </xf>
    <xf numFmtId="169" fontId="0" fillId="0" borderId="7" xfId="0" applyNumberFormat="1" applyFill="1" applyBorder="1"/>
    <xf numFmtId="0" fontId="5" fillId="0" borderId="10" xfId="0" applyFont="1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3" fillId="0" borderId="0" xfId="0" applyFont="1"/>
    <xf numFmtId="0" fontId="2" fillId="0" borderId="0" xfId="0" applyFont="1" applyFill="1" applyBorder="1"/>
    <xf numFmtId="167" fontId="0" fillId="0" borderId="55" xfId="0" applyNumberFormat="1" applyFill="1" applyBorder="1"/>
    <xf numFmtId="167" fontId="0" fillId="0" borderId="46" xfId="0" applyNumberFormat="1" applyFill="1" applyBorder="1"/>
    <xf numFmtId="0" fontId="3" fillId="0" borderId="0" xfId="0" applyFont="1" applyFill="1" applyBorder="1"/>
    <xf numFmtId="0" fontId="3" fillId="0" borderId="4" xfId="0" applyFont="1" applyBorder="1" applyAlignment="1"/>
    <xf numFmtId="0" fontId="0" fillId="0" borderId="4" xfId="0" applyBorder="1" applyAlignment="1">
      <alignment horizontal="center"/>
    </xf>
    <xf numFmtId="0" fontId="7" fillId="3" borderId="42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/>
    <xf numFmtId="2" fontId="7" fillId="0" borderId="64" xfId="0" applyNumberFormat="1" applyFont="1" applyFill="1" applyBorder="1" applyAlignment="1" applyProtection="1">
      <alignment horizontal="center"/>
      <protection locked="0"/>
    </xf>
    <xf numFmtId="0" fontId="7" fillId="0" borderId="61" xfId="0" applyFont="1" applyBorder="1" applyAlignment="1" applyProtection="1">
      <alignment horizontal="center"/>
    </xf>
    <xf numFmtId="0" fontId="7" fillId="0" borderId="61" xfId="0" applyFont="1" applyBorder="1" applyProtection="1"/>
    <xf numFmtId="0" fontId="16" fillId="0" borderId="61" xfId="0" applyFont="1" applyBorder="1" applyProtection="1"/>
    <xf numFmtId="2" fontId="7" fillId="0" borderId="61" xfId="0" applyNumberFormat="1" applyFont="1" applyFill="1" applyBorder="1" applyAlignment="1" applyProtection="1">
      <alignment horizontal="center"/>
      <protection locked="0"/>
    </xf>
    <xf numFmtId="0" fontId="16" fillId="0" borderId="61" xfId="0" applyFont="1" applyBorder="1" applyAlignment="1" applyProtection="1">
      <alignment horizontal="center"/>
    </xf>
    <xf numFmtId="169" fontId="7" fillId="0" borderId="61" xfId="0" applyNumberFormat="1" applyFont="1" applyFill="1" applyBorder="1" applyAlignment="1" applyProtection="1">
      <alignment horizontal="center"/>
    </xf>
    <xf numFmtId="0" fontId="7" fillId="3" borderId="61" xfId="0" applyFont="1" applyFill="1" applyBorder="1" applyAlignment="1" applyProtection="1">
      <alignment horizontal="center"/>
      <protection locked="0"/>
    </xf>
    <xf numFmtId="0" fontId="7" fillId="0" borderId="61" xfId="0" applyFont="1" applyFill="1" applyBorder="1" applyAlignment="1" applyProtection="1">
      <alignment horizontal="center"/>
    </xf>
    <xf numFmtId="0" fontId="7" fillId="3" borderId="67" xfId="0" applyFont="1" applyFill="1" applyBorder="1" applyAlignment="1" applyProtection="1">
      <alignment horizontal="center"/>
      <protection locked="0"/>
    </xf>
    <xf numFmtId="0" fontId="7" fillId="2" borderId="61" xfId="0" applyFont="1" applyFill="1" applyBorder="1" applyAlignment="1" applyProtection="1">
      <alignment horizontal="center"/>
    </xf>
    <xf numFmtId="0" fontId="7" fillId="6" borderId="61" xfId="0" applyFont="1" applyFill="1" applyBorder="1" applyAlignment="1" applyProtection="1">
      <alignment horizontal="center"/>
      <protection locked="0"/>
    </xf>
    <xf numFmtId="0" fontId="7" fillId="0" borderId="61" xfId="0" applyFont="1" applyFill="1" applyBorder="1" applyAlignment="1" applyProtection="1">
      <alignment horizontal="center"/>
      <protection locked="0"/>
    </xf>
    <xf numFmtId="169" fontId="7" fillId="6" borderId="61" xfId="0" applyNumberFormat="1" applyFont="1" applyFill="1" applyBorder="1" applyAlignment="1" applyProtection="1">
      <alignment horizontal="center"/>
      <protection locked="0"/>
    </xf>
    <xf numFmtId="169" fontId="7" fillId="0" borderId="61" xfId="0" applyNumberFormat="1" applyFont="1" applyFill="1" applyBorder="1" applyAlignment="1" applyProtection="1">
      <alignment horizontal="center"/>
      <protection locked="0"/>
    </xf>
    <xf numFmtId="0" fontId="7" fillId="3" borderId="71" xfId="0" applyFont="1" applyFill="1" applyBorder="1" applyAlignment="1" applyProtection="1">
      <alignment horizontal="center"/>
      <protection locked="0"/>
    </xf>
    <xf numFmtId="0" fontId="15" fillId="3" borderId="61" xfId="0" applyFont="1" applyFill="1" applyBorder="1" applyAlignment="1" applyProtection="1">
      <alignment horizontal="center"/>
      <protection locked="0"/>
    </xf>
    <xf numFmtId="0" fontId="7" fillId="0" borderId="61" xfId="0" applyFont="1" applyBorder="1" applyAlignment="1" applyProtection="1">
      <alignment horizontal="left"/>
    </xf>
    <xf numFmtId="0" fontId="0" fillId="0" borderId="0" xfId="0" applyFont="1" applyBorder="1"/>
    <xf numFmtId="1" fontId="3" fillId="0" borderId="0" xfId="0" applyNumberFormat="1" applyFont="1" applyAlignment="1">
      <alignment horizontal="left"/>
    </xf>
    <xf numFmtId="6" fontId="0" fillId="0" borderId="0" xfId="0" applyNumberFormat="1" applyBorder="1"/>
    <xf numFmtId="1" fontId="3" fillId="0" borderId="0" xfId="0" applyNumberFormat="1" applyFont="1"/>
    <xf numFmtId="0" fontId="3" fillId="0" borderId="0" xfId="0" applyFont="1" applyBorder="1" applyAlignment="1">
      <alignment horizontal="left" indent="1"/>
    </xf>
    <xf numFmtId="0" fontId="7" fillId="0" borderId="2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7" fillId="0" borderId="21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2" borderId="2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60" xfId="0" applyFont="1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protection locked="0"/>
    </xf>
    <xf numFmtId="0" fontId="7" fillId="2" borderId="26" xfId="0" applyFont="1" applyFill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7" xfId="0" applyFont="1" applyFill="1" applyBorder="1" applyAlignment="1" applyProtection="1">
      <alignment horizontal="center"/>
      <protection locked="0"/>
    </xf>
    <xf numFmtId="0" fontId="7" fillId="2" borderId="35" xfId="0" applyFont="1" applyFill="1" applyBorder="1" applyAlignment="1" applyProtection="1">
      <alignment horizontal="center"/>
      <protection locked="0"/>
    </xf>
    <xf numFmtId="0" fontId="7" fillId="2" borderId="37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165" fontId="0" fillId="2" borderId="0" xfId="0" applyNumberFormat="1" applyFill="1" applyBorder="1" applyAlignment="1" applyProtection="1">
      <alignment horizontal="center"/>
      <protection locked="0"/>
    </xf>
    <xf numFmtId="0" fontId="7" fillId="2" borderId="34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38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165" fontId="8" fillId="2" borderId="0" xfId="0" applyNumberFormat="1" applyFont="1" applyFill="1" applyBorder="1" applyAlignment="1" applyProtection="1">
      <alignment horizontal="left"/>
      <protection locked="0"/>
    </xf>
    <xf numFmtId="0" fontId="15" fillId="0" borderId="40" xfId="0" applyFont="1" applyFill="1" applyBorder="1" applyAlignment="1" applyProtection="1">
      <alignment horizontal="center"/>
      <protection locked="0"/>
    </xf>
    <xf numFmtId="0" fontId="7" fillId="0" borderId="32" xfId="0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Border="1" applyAlignment="1" applyProtection="1">
      <alignment horizontal="center"/>
      <protection locked="0"/>
    </xf>
    <xf numFmtId="0" fontId="15" fillId="2" borderId="17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15" fillId="2" borderId="22" xfId="0" applyFont="1" applyFill="1" applyBorder="1" applyAlignment="1" applyProtection="1">
      <alignment horizontal="center"/>
      <protection locked="0"/>
    </xf>
    <xf numFmtId="0" fontId="7" fillId="2" borderId="23" xfId="0" applyFont="1" applyFill="1" applyBorder="1" applyAlignment="1" applyProtection="1">
      <alignment horizontal="center"/>
      <protection locked="0"/>
    </xf>
    <xf numFmtId="0" fontId="7" fillId="2" borderId="41" xfId="0" applyFont="1" applyFill="1" applyBorder="1" applyAlignment="1" applyProtection="1">
      <alignment horizontal="center"/>
      <protection locked="0"/>
    </xf>
    <xf numFmtId="0" fontId="7" fillId="0" borderId="61" xfId="0" applyFont="1" applyBorder="1" applyAlignment="1" applyProtection="1">
      <alignment horizontal="center"/>
      <protection locked="0"/>
    </xf>
    <xf numFmtId="0" fontId="0" fillId="0" borderId="61" xfId="0" applyBorder="1" applyProtection="1">
      <protection locked="0"/>
    </xf>
    <xf numFmtId="0" fontId="7" fillId="2" borderId="66" xfId="0" applyFont="1" applyFill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7" fillId="0" borderId="61" xfId="0" applyFont="1" applyBorder="1" applyProtection="1">
      <protection locked="0"/>
    </xf>
    <xf numFmtId="0" fontId="0" fillId="0" borderId="0" xfId="0" applyProtection="1">
      <protection locked="0" hidden="1"/>
    </xf>
    <xf numFmtId="0" fontId="3" fillId="0" borderId="0" xfId="0" applyFont="1" applyAlignment="1" applyProtection="1">
      <alignment horizontal="left"/>
      <protection locked="0"/>
    </xf>
    <xf numFmtId="0" fontId="7" fillId="2" borderId="61" xfId="0" applyFont="1" applyFill="1" applyBorder="1" applyAlignment="1" applyProtection="1">
      <alignment horizontal="center"/>
      <protection locked="0"/>
    </xf>
    <xf numFmtId="0" fontId="15" fillId="0" borderId="61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7" fillId="2" borderId="69" xfId="0" applyFont="1" applyFill="1" applyBorder="1" applyAlignment="1" applyProtection="1">
      <alignment horizontal="center"/>
      <protection locked="0"/>
    </xf>
    <xf numFmtId="0" fontId="7" fillId="2" borderId="19" xfId="0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horizontal="center"/>
      <protection locked="0"/>
    </xf>
    <xf numFmtId="0" fontId="7" fillId="0" borderId="36" xfId="0" applyFont="1" applyFill="1" applyBorder="1" applyAlignment="1" applyProtection="1">
      <alignment horizontal="center"/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168" fontId="7" fillId="0" borderId="5" xfId="0" applyNumberFormat="1" applyFont="1" applyFill="1" applyBorder="1" applyAlignment="1" applyProtection="1">
      <alignment horizontal="center"/>
      <protection locked="0" hidden="1"/>
    </xf>
    <xf numFmtId="0" fontId="7" fillId="2" borderId="68" xfId="0" applyFont="1" applyFill="1" applyBorder="1" applyAlignment="1" applyProtection="1">
      <alignment horizontal="center"/>
      <protection locked="0"/>
    </xf>
    <xf numFmtId="0" fontId="7" fillId="2" borderId="36" xfId="0" applyFont="1" applyFill="1" applyBorder="1" applyAlignment="1" applyProtection="1">
      <alignment horizontal="center"/>
      <protection locked="0"/>
    </xf>
    <xf numFmtId="0" fontId="7" fillId="0" borderId="62" xfId="0" applyFont="1" applyFill="1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7" fillId="0" borderId="63" xfId="0" applyFont="1" applyFill="1" applyBorder="1" applyAlignment="1" applyProtection="1">
      <alignment horizontal="center"/>
      <protection locked="0"/>
    </xf>
    <xf numFmtId="0" fontId="7" fillId="0" borderId="64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4" xfId="0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6" fillId="0" borderId="61" xfId="0" applyFont="1" applyFill="1" applyBorder="1" applyAlignment="1" applyProtection="1">
      <alignment horizontal="center"/>
      <protection locked="0"/>
    </xf>
    <xf numFmtId="0" fontId="6" fillId="0" borderId="64" xfId="0" applyFont="1" applyFill="1" applyBorder="1" applyAlignment="1" applyProtection="1">
      <alignment horizontal="center"/>
      <protection locked="0"/>
    </xf>
    <xf numFmtId="0" fontId="3" fillId="2" borderId="61" xfId="0" applyFont="1" applyFill="1" applyBorder="1" applyAlignment="1" applyProtection="1">
      <alignment horizontal="center"/>
      <protection locked="0"/>
    </xf>
    <xf numFmtId="0" fontId="3" fillId="0" borderId="64" xfId="0" applyFont="1" applyBorder="1" applyAlignment="1" applyProtection="1">
      <alignment horizontal="center"/>
      <protection locked="0"/>
    </xf>
    <xf numFmtId="169" fontId="7" fillId="0" borderId="64" xfId="0" applyNumberFormat="1" applyFont="1" applyFill="1" applyBorder="1" applyAlignment="1" applyProtection="1">
      <alignment horizontal="center"/>
      <protection locked="0"/>
    </xf>
    <xf numFmtId="0" fontId="6" fillId="0" borderId="65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7" fillId="0" borderId="72" xfId="0" applyFont="1" applyFill="1" applyBorder="1" applyAlignment="1" applyProtection="1">
      <alignment horizontal="center"/>
      <protection locked="0"/>
    </xf>
    <xf numFmtId="0" fontId="7" fillId="0" borderId="72" xfId="0" applyFont="1" applyBorder="1" applyAlignment="1" applyProtection="1">
      <alignment horizontal="center"/>
      <protection locked="0"/>
    </xf>
    <xf numFmtId="0" fontId="7" fillId="0" borderId="70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left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19" fillId="0" borderId="9" xfId="0" applyFont="1" applyBorder="1" applyProtection="1"/>
    <xf numFmtId="0" fontId="23" fillId="0" borderId="2" xfId="0" applyFont="1" applyBorder="1" applyProtection="1"/>
    <xf numFmtId="0" fontId="7" fillId="0" borderId="4" xfId="0" applyFont="1" applyBorder="1" applyProtection="1"/>
    <xf numFmtId="0" fontId="6" fillId="0" borderId="4" xfId="0" applyFont="1" applyBorder="1" applyProtection="1"/>
    <xf numFmtId="0" fontId="6" fillId="0" borderId="4" xfId="0" applyFont="1" applyBorder="1" applyAlignment="1" applyProtection="1">
      <alignment horizontal="left" indent="4"/>
    </xf>
    <xf numFmtId="0" fontId="7" fillId="0" borderId="4" xfId="0" applyFont="1" applyBorder="1" applyAlignment="1" applyProtection="1">
      <alignment horizontal="left" indent="4"/>
    </xf>
    <xf numFmtId="0" fontId="14" fillId="0" borderId="4" xfId="0" applyFont="1" applyBorder="1" applyProtection="1"/>
    <xf numFmtId="0" fontId="7" fillId="0" borderId="4" xfId="0" applyFont="1" applyBorder="1" applyAlignment="1" applyProtection="1">
      <alignment horizontal="left" indent="1"/>
    </xf>
    <xf numFmtId="0" fontId="6" fillId="0" borderId="4" xfId="0" applyFont="1" applyBorder="1" applyAlignment="1" applyProtection="1">
      <alignment horizontal="left"/>
    </xf>
    <xf numFmtId="0" fontId="13" fillId="8" borderId="4" xfId="0" applyFont="1" applyFill="1" applyBorder="1" applyAlignment="1" applyProtection="1">
      <alignment horizontal="left" indent="1"/>
    </xf>
    <xf numFmtId="0" fontId="6" fillId="4" borderId="4" xfId="0" applyFont="1" applyFill="1" applyBorder="1" applyProtection="1"/>
    <xf numFmtId="0" fontId="7" fillId="4" borderId="0" xfId="0" applyFont="1" applyFill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0" fontId="7" fillId="0" borderId="33" xfId="0" applyFont="1" applyBorder="1" applyAlignment="1" applyProtection="1">
      <alignment horizontal="center"/>
    </xf>
    <xf numFmtId="0" fontId="0" fillId="0" borderId="33" xfId="0" applyBorder="1" applyProtection="1"/>
    <xf numFmtId="0" fontId="22" fillId="0" borderId="61" xfId="0" applyFont="1" applyBorder="1" applyProtection="1"/>
    <xf numFmtId="0" fontId="7" fillId="0" borderId="4" xfId="0" applyFont="1" applyBorder="1" applyAlignment="1" applyProtection="1">
      <alignment horizontal="left" indent="3"/>
    </xf>
    <xf numFmtId="0" fontId="7" fillId="0" borderId="69" xfId="0" applyFont="1" applyBorder="1" applyAlignment="1" applyProtection="1">
      <alignment horizontal="center"/>
    </xf>
    <xf numFmtId="0" fontId="7" fillId="0" borderId="61" xfId="0" applyFont="1" applyBorder="1" applyAlignment="1" applyProtection="1">
      <alignment horizontal="left" indent="5"/>
    </xf>
    <xf numFmtId="0" fontId="6" fillId="0" borderId="61" xfId="0" applyFont="1" applyBorder="1" applyProtection="1"/>
    <xf numFmtId="0" fontId="7" fillId="0" borderId="61" xfId="0" applyFont="1" applyBorder="1" applyAlignment="1" applyProtection="1">
      <alignment horizontal="left" indent="1"/>
    </xf>
    <xf numFmtId="0" fontId="6" fillId="4" borderId="61" xfId="0" applyFont="1" applyFill="1" applyBorder="1" applyProtection="1"/>
    <xf numFmtId="0" fontId="7" fillId="4" borderId="61" xfId="0" applyFont="1" applyFill="1" applyBorder="1" applyAlignment="1" applyProtection="1">
      <alignment horizontal="center"/>
    </xf>
    <xf numFmtId="0" fontId="6" fillId="0" borderId="4" xfId="0" applyFont="1" applyFill="1" applyBorder="1" applyProtection="1"/>
    <xf numFmtId="0" fontId="20" fillId="0" borderId="73" xfId="0" applyFont="1" applyFill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17" fillId="0" borderId="6" xfId="0" applyFont="1" applyBorder="1" applyProtection="1"/>
    <xf numFmtId="0" fontId="17" fillId="0" borderId="7" xfId="0" applyFont="1" applyBorder="1" applyAlignment="1" applyProtection="1">
      <alignment horizontal="center"/>
    </xf>
    <xf numFmtId="0" fontId="7" fillId="0" borderId="2" xfId="0" applyFont="1" applyBorder="1" applyProtection="1"/>
    <xf numFmtId="0" fontId="7" fillId="0" borderId="68" xfId="0" applyFont="1" applyBorder="1" applyAlignment="1" applyProtection="1">
      <alignment horizontal="left"/>
    </xf>
    <xf numFmtId="0" fontId="0" fillId="0" borderId="61" xfId="0" applyBorder="1" applyProtection="1"/>
    <xf numFmtId="0" fontId="6" fillId="0" borderId="61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18" fillId="0" borderId="7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7" fillId="0" borderId="70" xfId="0" applyFont="1" applyBorder="1" applyAlignment="1" applyProtection="1">
      <alignment horizontal="center"/>
    </xf>
    <xf numFmtId="166" fontId="0" fillId="0" borderId="44" xfId="0" applyNumberForma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B351"/>
  <sheetViews>
    <sheetView tabSelected="1" topLeftCell="A19" zoomScaleNormal="100" workbookViewId="0">
      <selection activeCell="D12" sqref="D12"/>
    </sheetView>
  </sheetViews>
  <sheetFormatPr defaultColWidth="8.85546875" defaultRowHeight="12.75"/>
  <cols>
    <col min="1" max="1" width="40.28515625" style="205" customWidth="1"/>
    <col min="2" max="2" width="4.7109375" style="205" customWidth="1"/>
    <col min="3" max="3" width="25.28515625" style="205" customWidth="1"/>
    <col min="4" max="4" width="11.28515625" style="205" customWidth="1"/>
    <col min="5" max="5" width="20.5703125" style="205" customWidth="1"/>
    <col min="6" max="6" width="13.140625" style="205" customWidth="1"/>
    <col min="7" max="7" width="23.140625" style="205" customWidth="1"/>
    <col min="8" max="8" width="15.85546875" style="205" customWidth="1"/>
    <col min="9" max="23" width="8.85546875" style="205"/>
    <col min="24" max="24" width="9.28515625" style="205" bestFit="1" customWidth="1"/>
    <col min="25" max="29" width="8.85546875" style="205"/>
    <col min="30" max="30" width="12" style="205" customWidth="1"/>
    <col min="31" max="16384" width="8.85546875" style="205"/>
  </cols>
  <sheetData>
    <row r="1" spans="1:11" ht="23.25">
      <c r="A1" s="290" t="s">
        <v>33</v>
      </c>
      <c r="B1" s="291"/>
      <c r="C1" s="291"/>
      <c r="D1" s="203"/>
      <c r="E1" s="318"/>
      <c r="F1" s="203"/>
      <c r="G1" s="318"/>
      <c r="H1" s="204"/>
    </row>
    <row r="2" spans="1:11" ht="18">
      <c r="A2" s="292" t="s">
        <v>544</v>
      </c>
      <c r="B2" s="73"/>
      <c r="C2" s="73"/>
      <c r="D2" s="206"/>
      <c r="E2" s="73"/>
      <c r="F2" s="206"/>
      <c r="G2" s="73"/>
      <c r="H2" s="207"/>
    </row>
    <row r="3" spans="1:11" ht="18">
      <c r="A3" s="293" t="s">
        <v>466</v>
      </c>
      <c r="B3" s="73"/>
      <c r="C3" s="73"/>
      <c r="D3" s="206"/>
      <c r="E3" s="73"/>
      <c r="F3" s="206"/>
      <c r="G3" s="73"/>
      <c r="H3" s="207"/>
    </row>
    <row r="4" spans="1:11" ht="18">
      <c r="A4" s="294" t="s">
        <v>467</v>
      </c>
      <c r="B4" s="73"/>
      <c r="C4" s="73"/>
      <c r="D4" s="208"/>
      <c r="E4" s="73"/>
      <c r="F4" s="206"/>
      <c r="G4" s="73"/>
      <c r="H4" s="207"/>
    </row>
    <row r="5" spans="1:11" ht="18">
      <c r="A5" s="295"/>
      <c r="B5" s="73"/>
      <c r="C5" s="73"/>
      <c r="D5" s="208"/>
      <c r="E5" s="73"/>
      <c r="F5" s="206" t="s">
        <v>28</v>
      </c>
      <c r="G5" s="73"/>
      <c r="H5" s="207"/>
    </row>
    <row r="6" spans="1:11" ht="18">
      <c r="A6" s="296" t="s">
        <v>160</v>
      </c>
      <c r="B6" s="73"/>
      <c r="C6" s="73"/>
      <c r="D6" s="206"/>
      <c r="E6" s="73"/>
      <c r="F6" s="206"/>
      <c r="G6" s="73"/>
      <c r="H6" s="207"/>
      <c r="K6" s="209"/>
    </row>
    <row r="7" spans="1:11" ht="18">
      <c r="A7" s="292" t="s">
        <v>238</v>
      </c>
      <c r="B7" s="73"/>
      <c r="C7" s="73"/>
      <c r="D7" s="206"/>
      <c r="E7" s="73"/>
      <c r="F7" s="206"/>
      <c r="G7" s="73"/>
      <c r="H7" s="207"/>
    </row>
    <row r="8" spans="1:11" ht="18">
      <c r="A8" s="292" t="s">
        <v>44</v>
      </c>
      <c r="B8" s="73"/>
      <c r="C8" s="73"/>
      <c r="D8" s="206"/>
      <c r="E8" s="73"/>
      <c r="F8" s="206"/>
      <c r="G8" s="73"/>
      <c r="H8" s="207"/>
    </row>
    <row r="9" spans="1:11" ht="18">
      <c r="A9" s="292" t="s">
        <v>282</v>
      </c>
      <c r="B9" s="73"/>
      <c r="C9" s="73"/>
      <c r="D9" s="206"/>
      <c r="E9" s="73"/>
      <c r="F9" s="206"/>
      <c r="G9" s="73"/>
      <c r="H9" s="207"/>
    </row>
    <row r="10" spans="1:11" ht="18">
      <c r="A10" s="292" t="s">
        <v>10</v>
      </c>
      <c r="B10" s="73"/>
      <c r="C10" s="73"/>
      <c r="D10" s="206"/>
      <c r="E10" s="73"/>
      <c r="F10" s="206"/>
      <c r="G10" s="73"/>
      <c r="H10" s="207"/>
    </row>
    <row r="11" spans="1:11" ht="18">
      <c r="A11" s="292"/>
      <c r="B11" s="73"/>
      <c r="C11" s="73"/>
      <c r="D11" s="206"/>
      <c r="E11" s="73"/>
      <c r="F11" s="206"/>
      <c r="G11" s="73"/>
      <c r="H11" s="210"/>
    </row>
    <row r="12" spans="1:11" ht="18">
      <c r="A12" s="293" t="s">
        <v>13</v>
      </c>
      <c r="B12" s="72" t="s">
        <v>16</v>
      </c>
      <c r="C12" s="72" t="s">
        <v>6</v>
      </c>
      <c r="D12" s="70"/>
      <c r="E12" s="72" t="s">
        <v>7</v>
      </c>
      <c r="F12" s="71"/>
      <c r="G12" s="72"/>
      <c r="H12" s="212"/>
      <c r="I12" s="213"/>
      <c r="J12" s="213"/>
    </row>
    <row r="13" spans="1:11" ht="18">
      <c r="A13" s="297" t="s">
        <v>231</v>
      </c>
      <c r="B13" s="72" t="s">
        <v>17</v>
      </c>
      <c r="C13" s="72" t="s">
        <v>6</v>
      </c>
      <c r="D13" s="70"/>
      <c r="E13" s="72" t="s">
        <v>7</v>
      </c>
      <c r="F13" s="71"/>
      <c r="G13" s="72"/>
      <c r="H13" s="212"/>
      <c r="I13" s="214"/>
      <c r="J13" s="213"/>
    </row>
    <row r="14" spans="1:11" ht="18">
      <c r="A14" s="292"/>
      <c r="B14" s="72" t="s">
        <v>18</v>
      </c>
      <c r="C14" s="72" t="s">
        <v>6</v>
      </c>
      <c r="D14" s="70"/>
      <c r="E14" s="72" t="s">
        <v>7</v>
      </c>
      <c r="F14" s="71"/>
      <c r="G14" s="72"/>
      <c r="H14" s="212"/>
      <c r="I14" s="213"/>
      <c r="J14" s="213"/>
    </row>
    <row r="15" spans="1:11" ht="18">
      <c r="A15" s="292"/>
      <c r="B15" s="72"/>
      <c r="C15" s="72"/>
      <c r="D15" s="215"/>
      <c r="E15" s="72"/>
      <c r="F15" s="216"/>
      <c r="G15" s="72"/>
      <c r="H15" s="217"/>
      <c r="I15" s="213"/>
      <c r="J15" s="213"/>
    </row>
    <row r="16" spans="1:11" ht="18">
      <c r="A16" s="298" t="s">
        <v>283</v>
      </c>
      <c r="B16" s="72" t="s">
        <v>16</v>
      </c>
      <c r="C16" s="72" t="s">
        <v>6</v>
      </c>
      <c r="D16" s="70"/>
      <c r="E16" s="72" t="s">
        <v>7</v>
      </c>
      <c r="F16" s="71"/>
      <c r="G16" s="72" t="s">
        <v>268</v>
      </c>
      <c r="H16" s="102"/>
      <c r="I16" s="213"/>
      <c r="J16" s="213"/>
    </row>
    <row r="17" spans="1:12" ht="18">
      <c r="A17" s="297" t="s">
        <v>511</v>
      </c>
      <c r="B17" s="72" t="s">
        <v>17</v>
      </c>
      <c r="C17" s="72" t="s">
        <v>6</v>
      </c>
      <c r="D17" s="70"/>
      <c r="E17" s="72" t="s">
        <v>7</v>
      </c>
      <c r="F17" s="71"/>
      <c r="G17" s="72" t="s">
        <v>268</v>
      </c>
      <c r="H17" s="74"/>
      <c r="I17" s="213"/>
      <c r="J17" s="213"/>
    </row>
    <row r="18" spans="1:12" ht="18">
      <c r="A18" s="297" t="s">
        <v>514</v>
      </c>
      <c r="B18" s="72" t="s">
        <v>18</v>
      </c>
      <c r="C18" s="72" t="s">
        <v>6</v>
      </c>
      <c r="D18" s="70"/>
      <c r="E18" s="72" t="s">
        <v>7</v>
      </c>
      <c r="F18" s="71"/>
      <c r="G18" s="72" t="s">
        <v>268</v>
      </c>
      <c r="H18" s="74"/>
      <c r="I18" s="213"/>
      <c r="J18" s="213"/>
    </row>
    <row r="19" spans="1:12" ht="18">
      <c r="A19" s="299" t="s">
        <v>522</v>
      </c>
      <c r="B19" s="165"/>
      <c r="C19" s="165"/>
      <c r="D19" s="218"/>
      <c r="E19" s="103"/>
      <c r="F19" s="219"/>
      <c r="G19" s="72"/>
      <c r="H19" s="220"/>
      <c r="I19" s="213"/>
      <c r="J19" s="213"/>
    </row>
    <row r="20" spans="1:12" ht="18">
      <c r="A20" s="292"/>
      <c r="B20" s="72"/>
      <c r="C20" s="72"/>
      <c r="D20" s="221"/>
      <c r="E20" s="105"/>
      <c r="F20" s="211"/>
      <c r="G20" s="72"/>
      <c r="H20" s="212"/>
      <c r="I20" s="213"/>
      <c r="J20" s="213"/>
    </row>
    <row r="21" spans="1:12" ht="18">
      <c r="A21" s="293" t="s">
        <v>303</v>
      </c>
      <c r="B21" s="72" t="s">
        <v>16</v>
      </c>
      <c r="C21" s="72" t="s">
        <v>6</v>
      </c>
      <c r="D21" s="70"/>
      <c r="E21" s="72" t="s">
        <v>7</v>
      </c>
      <c r="F21" s="71"/>
      <c r="G21" s="72"/>
      <c r="H21" s="212"/>
      <c r="I21" s="213"/>
      <c r="J21" s="213"/>
    </row>
    <row r="22" spans="1:12" ht="18">
      <c r="A22" s="297" t="s">
        <v>305</v>
      </c>
      <c r="B22" s="72" t="s">
        <v>17</v>
      </c>
      <c r="C22" s="72" t="s">
        <v>6</v>
      </c>
      <c r="D22" s="70"/>
      <c r="E22" s="72" t="s">
        <v>7</v>
      </c>
      <c r="F22" s="71"/>
      <c r="G22" s="72"/>
      <c r="H22" s="212"/>
      <c r="I22" s="213"/>
      <c r="J22" s="213"/>
      <c r="L22" s="222"/>
    </row>
    <row r="23" spans="1:12" ht="18">
      <c r="A23" s="292"/>
      <c r="B23" s="72" t="s">
        <v>18</v>
      </c>
      <c r="C23" s="72" t="s">
        <v>6</v>
      </c>
      <c r="D23" s="70"/>
      <c r="E23" s="72" t="s">
        <v>7</v>
      </c>
      <c r="F23" s="71"/>
      <c r="G23" s="72"/>
      <c r="H23" s="212"/>
      <c r="I23" s="213"/>
      <c r="J23" s="213"/>
    </row>
    <row r="24" spans="1:12" ht="18">
      <c r="A24" s="299" t="s">
        <v>523</v>
      </c>
      <c r="B24" s="165"/>
      <c r="C24" s="165"/>
      <c r="D24" s="211"/>
      <c r="E24" s="101"/>
      <c r="F24" s="211"/>
      <c r="G24" s="72"/>
      <c r="H24" s="212"/>
      <c r="I24" s="213"/>
      <c r="J24" s="213"/>
    </row>
    <row r="25" spans="1:12" ht="18">
      <c r="A25" s="292"/>
      <c r="B25" s="72"/>
      <c r="C25" s="72"/>
      <c r="D25" s="211"/>
      <c r="E25" s="101"/>
      <c r="F25" s="211"/>
      <c r="G25" s="72"/>
      <c r="H25" s="224"/>
      <c r="I25" s="213"/>
      <c r="J25" s="213"/>
    </row>
    <row r="26" spans="1:12" ht="18">
      <c r="A26" s="293" t="s">
        <v>304</v>
      </c>
      <c r="B26" s="72" t="s">
        <v>16</v>
      </c>
      <c r="C26" s="72" t="s">
        <v>6</v>
      </c>
      <c r="D26" s="70"/>
      <c r="E26" s="72" t="s">
        <v>7</v>
      </c>
      <c r="F26" s="114"/>
      <c r="G26" s="72" t="s">
        <v>268</v>
      </c>
      <c r="H26" s="74"/>
      <c r="I26" s="213"/>
      <c r="J26" s="213"/>
    </row>
    <row r="27" spans="1:12" ht="18">
      <c r="A27" s="297" t="s">
        <v>235</v>
      </c>
      <c r="B27" s="72" t="s">
        <v>17</v>
      </c>
      <c r="C27" s="72" t="s">
        <v>6</v>
      </c>
      <c r="D27" s="70"/>
      <c r="E27" s="72" t="s">
        <v>7</v>
      </c>
      <c r="F27" s="114"/>
      <c r="G27" s="72" t="s">
        <v>268</v>
      </c>
      <c r="H27" s="74"/>
      <c r="I27" s="213"/>
      <c r="J27" s="213"/>
    </row>
    <row r="28" spans="1:12" ht="18">
      <c r="A28" s="292" t="s">
        <v>267</v>
      </c>
      <c r="B28" s="72" t="s">
        <v>18</v>
      </c>
      <c r="C28" s="72" t="s">
        <v>6</v>
      </c>
      <c r="D28" s="70"/>
      <c r="E28" s="72" t="s">
        <v>7</v>
      </c>
      <c r="F28" s="114"/>
      <c r="G28" s="72" t="s">
        <v>268</v>
      </c>
      <c r="H28" s="74"/>
      <c r="I28" s="213"/>
      <c r="J28" s="213"/>
    </row>
    <row r="29" spans="1:12" ht="18">
      <c r="A29" s="299" t="s">
        <v>524</v>
      </c>
      <c r="B29" s="165"/>
      <c r="C29" s="165"/>
      <c r="D29" s="211"/>
      <c r="E29" s="101"/>
      <c r="F29" s="211"/>
      <c r="G29" s="113"/>
      <c r="H29" s="225"/>
      <c r="I29" s="213"/>
      <c r="J29" s="213"/>
    </row>
    <row r="30" spans="1:12" ht="18">
      <c r="A30" s="292"/>
      <c r="B30" s="72"/>
      <c r="C30" s="72"/>
      <c r="D30" s="211"/>
      <c r="E30" s="101"/>
      <c r="F30" s="211"/>
      <c r="G30" s="104"/>
      <c r="H30" s="226"/>
      <c r="I30" s="213"/>
      <c r="J30" s="213"/>
    </row>
    <row r="31" spans="1:12" ht="18">
      <c r="A31" s="293" t="s">
        <v>70</v>
      </c>
      <c r="B31" s="72" t="s">
        <v>16</v>
      </c>
      <c r="C31" s="72" t="s">
        <v>6</v>
      </c>
      <c r="D31" s="71"/>
      <c r="E31" s="100" t="s">
        <v>483</v>
      </c>
      <c r="F31" s="114"/>
      <c r="G31" s="72" t="s">
        <v>91</v>
      </c>
      <c r="H31" s="74"/>
      <c r="I31" s="213"/>
      <c r="J31" s="213"/>
    </row>
    <row r="32" spans="1:12" ht="18">
      <c r="A32" s="297" t="s">
        <v>484</v>
      </c>
      <c r="B32" s="72" t="s">
        <v>17</v>
      </c>
      <c r="C32" s="72" t="s">
        <v>6</v>
      </c>
      <c r="D32" s="71"/>
      <c r="E32" s="100" t="s">
        <v>483</v>
      </c>
      <c r="F32" s="114"/>
      <c r="G32" s="72" t="s">
        <v>91</v>
      </c>
      <c r="H32" s="74"/>
      <c r="I32" s="213"/>
      <c r="J32" s="213"/>
    </row>
    <row r="33" spans="1:10" ht="18">
      <c r="A33" s="292" t="s">
        <v>485</v>
      </c>
      <c r="B33" s="72" t="s">
        <v>18</v>
      </c>
      <c r="C33" s="72" t="s">
        <v>6</v>
      </c>
      <c r="D33" s="71"/>
      <c r="E33" s="100" t="s">
        <v>483</v>
      </c>
      <c r="F33" s="114"/>
      <c r="G33" s="72" t="s">
        <v>91</v>
      </c>
      <c r="H33" s="74"/>
      <c r="I33" s="213"/>
      <c r="J33" s="213"/>
    </row>
    <row r="34" spans="1:10" ht="18">
      <c r="A34" s="292"/>
      <c r="B34" s="72"/>
      <c r="C34" s="72"/>
      <c r="D34" s="81"/>
      <c r="E34" s="101"/>
      <c r="F34" s="81"/>
      <c r="G34" s="72"/>
      <c r="H34" s="227"/>
      <c r="J34" s="213"/>
    </row>
    <row r="35" spans="1:10" ht="18">
      <c r="A35" s="293" t="s">
        <v>12</v>
      </c>
      <c r="B35" s="72" t="s">
        <v>16</v>
      </c>
      <c r="C35" s="72" t="s">
        <v>6</v>
      </c>
      <c r="D35" s="70"/>
      <c r="E35" s="72" t="s">
        <v>7</v>
      </c>
      <c r="F35" s="71"/>
      <c r="G35" s="72" t="s">
        <v>90</v>
      </c>
      <c r="H35" s="74"/>
      <c r="I35" s="213"/>
      <c r="J35" s="213"/>
    </row>
    <row r="36" spans="1:10" ht="18">
      <c r="A36" s="297" t="s">
        <v>235</v>
      </c>
      <c r="B36" s="72" t="s">
        <v>17</v>
      </c>
      <c r="C36" s="72" t="s">
        <v>6</v>
      </c>
      <c r="D36" s="70"/>
      <c r="E36" s="72" t="s">
        <v>7</v>
      </c>
      <c r="F36" s="71"/>
      <c r="G36" s="72" t="s">
        <v>90</v>
      </c>
      <c r="H36" s="74"/>
      <c r="I36" s="213"/>
      <c r="J36" s="213"/>
    </row>
    <row r="37" spans="1:10" ht="18">
      <c r="A37" s="292" t="s">
        <v>307</v>
      </c>
      <c r="B37" s="72" t="s">
        <v>18</v>
      </c>
      <c r="C37" s="72" t="s">
        <v>6</v>
      </c>
      <c r="D37" s="70"/>
      <c r="E37" s="72" t="s">
        <v>7</v>
      </c>
      <c r="F37" s="71"/>
      <c r="G37" s="72" t="s">
        <v>90</v>
      </c>
      <c r="H37" s="74"/>
      <c r="I37" s="213"/>
      <c r="J37" s="213"/>
    </row>
    <row r="38" spans="1:10" ht="18">
      <c r="A38" s="292"/>
      <c r="B38" s="72" t="s">
        <v>243</v>
      </c>
      <c r="C38" s="72" t="s">
        <v>6</v>
      </c>
      <c r="D38" s="70"/>
      <c r="E38" s="72" t="s">
        <v>7</v>
      </c>
      <c r="F38" s="71"/>
      <c r="G38" s="72" t="s">
        <v>90</v>
      </c>
      <c r="H38" s="74"/>
      <c r="I38" s="213"/>
      <c r="J38" s="213"/>
    </row>
    <row r="39" spans="1:10" ht="18">
      <c r="A39" s="292"/>
      <c r="B39" s="72" t="s">
        <v>244</v>
      </c>
      <c r="C39" s="72" t="s">
        <v>6</v>
      </c>
      <c r="D39" s="70"/>
      <c r="E39" s="72" t="s">
        <v>7</v>
      </c>
      <c r="F39" s="71"/>
      <c r="G39" s="72" t="s">
        <v>90</v>
      </c>
      <c r="H39" s="74"/>
      <c r="I39" s="213"/>
      <c r="J39" s="213"/>
    </row>
    <row r="40" spans="1:10" ht="18">
      <c r="A40" s="292"/>
      <c r="B40" s="72" t="s">
        <v>245</v>
      </c>
      <c r="C40" s="72" t="s">
        <v>6</v>
      </c>
      <c r="D40" s="70"/>
      <c r="E40" s="72" t="s">
        <v>7</v>
      </c>
      <c r="F40" s="71"/>
      <c r="G40" s="72" t="s">
        <v>90</v>
      </c>
      <c r="H40" s="74"/>
      <c r="I40" s="213"/>
      <c r="J40" s="213"/>
    </row>
    <row r="41" spans="1:10" ht="18">
      <c r="A41" s="292"/>
      <c r="B41" s="72" t="s">
        <v>246</v>
      </c>
      <c r="C41" s="72" t="s">
        <v>6</v>
      </c>
      <c r="D41" s="70"/>
      <c r="E41" s="72" t="s">
        <v>7</v>
      </c>
      <c r="F41" s="71"/>
      <c r="G41" s="72" t="s">
        <v>90</v>
      </c>
      <c r="H41" s="74"/>
      <c r="I41" s="213"/>
      <c r="J41" s="213"/>
    </row>
    <row r="42" spans="1:10" ht="18">
      <c r="A42" s="292"/>
      <c r="B42" s="72" t="s">
        <v>247</v>
      </c>
      <c r="C42" s="72" t="s">
        <v>6</v>
      </c>
      <c r="D42" s="70"/>
      <c r="E42" s="72" t="s">
        <v>7</v>
      </c>
      <c r="F42" s="71"/>
      <c r="G42" s="72" t="s">
        <v>90</v>
      </c>
      <c r="H42" s="74"/>
      <c r="I42" s="213"/>
      <c r="J42" s="213"/>
    </row>
    <row r="43" spans="1:10" ht="18">
      <c r="A43" s="292"/>
      <c r="B43" s="72" t="s">
        <v>248</v>
      </c>
      <c r="C43" s="72" t="s">
        <v>6</v>
      </c>
      <c r="D43" s="84"/>
      <c r="E43" s="72" t="s">
        <v>7</v>
      </c>
      <c r="F43" s="71"/>
      <c r="G43" s="72" t="s">
        <v>90</v>
      </c>
      <c r="H43" s="74"/>
      <c r="I43" s="213"/>
      <c r="J43" s="213"/>
    </row>
    <row r="44" spans="1:10" ht="18">
      <c r="A44" s="292"/>
      <c r="B44" s="72" t="s">
        <v>249</v>
      </c>
      <c r="C44" s="72" t="s">
        <v>6</v>
      </c>
      <c r="D44" s="70"/>
      <c r="E44" s="72" t="s">
        <v>7</v>
      </c>
      <c r="F44" s="71"/>
      <c r="G44" s="72" t="s">
        <v>90</v>
      </c>
      <c r="H44" s="74"/>
      <c r="I44" s="213"/>
      <c r="J44" s="213"/>
    </row>
    <row r="45" spans="1:10" ht="18">
      <c r="A45" s="292"/>
      <c r="B45" s="72"/>
      <c r="C45" s="72"/>
      <c r="D45" s="228"/>
      <c r="E45" s="72"/>
      <c r="F45" s="81"/>
      <c r="G45" s="75"/>
      <c r="H45" s="227"/>
      <c r="I45" s="213"/>
      <c r="J45" s="213"/>
    </row>
    <row r="46" spans="1:10" ht="18">
      <c r="A46" s="293" t="s">
        <v>0</v>
      </c>
      <c r="B46" s="72" t="s">
        <v>16</v>
      </c>
      <c r="C46" s="72" t="s">
        <v>6</v>
      </c>
      <c r="D46" s="70"/>
      <c r="E46" s="72" t="s">
        <v>7</v>
      </c>
      <c r="F46" s="71"/>
      <c r="G46" s="77" t="s">
        <v>8</v>
      </c>
      <c r="H46" s="74"/>
      <c r="I46" s="229"/>
    </row>
    <row r="47" spans="1:10" ht="18">
      <c r="A47" s="297" t="s">
        <v>234</v>
      </c>
      <c r="B47" s="72"/>
      <c r="C47" s="72" t="s">
        <v>133</v>
      </c>
      <c r="D47" s="71"/>
      <c r="E47" s="106"/>
      <c r="F47" s="230"/>
      <c r="G47" s="107"/>
      <c r="H47" s="231"/>
      <c r="I47" s="213"/>
      <c r="J47" s="213"/>
    </row>
    <row r="48" spans="1:10" ht="18">
      <c r="A48" s="292" t="s">
        <v>230</v>
      </c>
      <c r="B48" s="72" t="s">
        <v>17</v>
      </c>
      <c r="C48" s="72" t="s">
        <v>6</v>
      </c>
      <c r="D48" s="70"/>
      <c r="E48" s="72" t="s">
        <v>7</v>
      </c>
      <c r="F48" s="71"/>
      <c r="G48" s="77" t="s">
        <v>8</v>
      </c>
      <c r="H48" s="74"/>
      <c r="I48" s="213" t="s">
        <v>28</v>
      </c>
      <c r="J48" s="213"/>
    </row>
    <row r="49" spans="1:10" ht="18">
      <c r="A49" s="292"/>
      <c r="B49" s="72"/>
      <c r="C49" s="72" t="s">
        <v>133</v>
      </c>
      <c r="D49" s="71"/>
      <c r="E49" s="100"/>
      <c r="F49" s="232"/>
      <c r="G49" s="77"/>
      <c r="H49" s="231"/>
      <c r="I49" s="213"/>
      <c r="J49" s="213"/>
    </row>
    <row r="50" spans="1:10" ht="18">
      <c r="A50" s="292"/>
      <c r="B50" s="72" t="s">
        <v>18</v>
      </c>
      <c r="C50" s="72" t="s">
        <v>6</v>
      </c>
      <c r="D50" s="70"/>
      <c r="E50" s="72" t="s">
        <v>7</v>
      </c>
      <c r="F50" s="78"/>
      <c r="G50" s="77" t="s">
        <v>8</v>
      </c>
      <c r="H50" s="74"/>
      <c r="I50" s="214"/>
      <c r="J50" s="213"/>
    </row>
    <row r="51" spans="1:10" ht="18">
      <c r="A51" s="292"/>
      <c r="B51" s="72"/>
      <c r="C51" s="72" t="s">
        <v>133</v>
      </c>
      <c r="D51" s="71"/>
      <c r="E51" s="100"/>
      <c r="F51" s="216"/>
      <c r="G51" s="77"/>
      <c r="H51" s="231"/>
      <c r="I51" s="213"/>
      <c r="J51" s="213"/>
    </row>
    <row r="52" spans="1:10" ht="18">
      <c r="A52" s="292"/>
      <c r="B52" s="72" t="s">
        <v>243</v>
      </c>
      <c r="C52" s="72" t="s">
        <v>6</v>
      </c>
      <c r="D52" s="70"/>
      <c r="E52" s="72" t="s">
        <v>7</v>
      </c>
      <c r="F52" s="71"/>
      <c r="G52" s="77" t="s">
        <v>8</v>
      </c>
      <c r="H52" s="74"/>
      <c r="I52" s="213"/>
      <c r="J52" s="213"/>
    </row>
    <row r="53" spans="1:10" ht="18">
      <c r="A53" s="292"/>
      <c r="B53" s="72"/>
      <c r="C53" s="72" t="s">
        <v>133</v>
      </c>
      <c r="D53" s="71"/>
      <c r="E53" s="100"/>
      <c r="F53" s="216"/>
      <c r="G53" s="77"/>
      <c r="H53" s="231"/>
      <c r="I53" s="213"/>
      <c r="J53" s="213"/>
    </row>
    <row r="54" spans="1:10" ht="18">
      <c r="A54" s="292"/>
      <c r="B54" s="72" t="s">
        <v>244</v>
      </c>
      <c r="C54" s="72" t="s">
        <v>6</v>
      </c>
      <c r="D54" s="70"/>
      <c r="E54" s="72" t="s">
        <v>7</v>
      </c>
      <c r="F54" s="76"/>
      <c r="G54" s="77" t="s">
        <v>8</v>
      </c>
      <c r="H54" s="74"/>
      <c r="I54" s="213"/>
      <c r="J54" s="213"/>
    </row>
    <row r="55" spans="1:10" ht="18">
      <c r="A55" s="292"/>
      <c r="B55" s="72"/>
      <c r="C55" s="72" t="s">
        <v>133</v>
      </c>
      <c r="D55" s="71"/>
      <c r="E55" s="100"/>
      <c r="F55" s="233"/>
      <c r="G55" s="77"/>
      <c r="H55" s="231"/>
      <c r="I55" s="213"/>
      <c r="J55" s="213"/>
    </row>
    <row r="56" spans="1:10" ht="18">
      <c r="A56" s="292"/>
      <c r="B56" s="72"/>
      <c r="C56" s="72"/>
      <c r="D56" s="234"/>
      <c r="E56" s="100"/>
      <c r="F56" s="223"/>
      <c r="G56" s="77"/>
      <c r="H56" s="231"/>
      <c r="I56" s="213"/>
      <c r="J56" s="213"/>
    </row>
    <row r="57" spans="1:10" ht="18">
      <c r="A57" s="300" t="s">
        <v>342</v>
      </c>
      <c r="B57" s="301"/>
      <c r="C57" s="72" t="s">
        <v>47</v>
      </c>
      <c r="D57" s="79"/>
      <c r="E57" s="108" t="s">
        <v>587</v>
      </c>
      <c r="F57" s="235"/>
      <c r="G57" s="72"/>
      <c r="H57" s="231"/>
      <c r="I57" s="236"/>
    </row>
    <row r="58" spans="1:10" ht="18">
      <c r="A58" s="292"/>
      <c r="B58" s="72"/>
      <c r="C58" s="302"/>
      <c r="D58" s="237"/>
      <c r="E58" s="101"/>
      <c r="F58" s="238"/>
      <c r="G58" s="72"/>
      <c r="H58" s="231"/>
      <c r="I58" s="239"/>
      <c r="J58" s="213"/>
    </row>
    <row r="59" spans="1:10" ht="18">
      <c r="A59" s="293" t="s">
        <v>1</v>
      </c>
      <c r="B59" s="72" t="s">
        <v>16</v>
      </c>
      <c r="C59" s="72" t="s">
        <v>6</v>
      </c>
      <c r="D59" s="70"/>
      <c r="E59" s="72" t="s">
        <v>7</v>
      </c>
      <c r="F59" s="109"/>
      <c r="G59" s="72" t="s">
        <v>8</v>
      </c>
      <c r="H59" s="74"/>
      <c r="I59" s="213"/>
    </row>
    <row r="60" spans="1:10" ht="18">
      <c r="A60" s="297" t="s">
        <v>233</v>
      </c>
      <c r="B60" s="72" t="s">
        <v>17</v>
      </c>
      <c r="C60" s="72" t="s">
        <v>6</v>
      </c>
      <c r="D60" s="70"/>
      <c r="E60" s="72" t="s">
        <v>7</v>
      </c>
      <c r="F60" s="70"/>
      <c r="G60" s="72" t="s">
        <v>8</v>
      </c>
      <c r="H60" s="74"/>
      <c r="I60" s="213"/>
      <c r="J60" s="213"/>
    </row>
    <row r="61" spans="1:10" ht="18">
      <c r="A61" s="292" t="s">
        <v>232</v>
      </c>
      <c r="B61" s="72" t="s">
        <v>18</v>
      </c>
      <c r="C61" s="72" t="s">
        <v>6</v>
      </c>
      <c r="D61" s="70"/>
      <c r="E61" s="72" t="s">
        <v>7</v>
      </c>
      <c r="F61" s="70"/>
      <c r="G61" s="72" t="s">
        <v>8</v>
      </c>
      <c r="H61" s="74"/>
      <c r="I61" s="213"/>
      <c r="J61" s="213"/>
    </row>
    <row r="62" spans="1:10" ht="18">
      <c r="A62" s="292" t="s">
        <v>606</v>
      </c>
      <c r="B62" s="72" t="s">
        <v>243</v>
      </c>
      <c r="C62" s="72" t="s">
        <v>6</v>
      </c>
      <c r="D62" s="70"/>
      <c r="E62" s="72" t="s">
        <v>7</v>
      </c>
      <c r="F62" s="70"/>
      <c r="G62" s="72" t="s">
        <v>8</v>
      </c>
      <c r="H62" s="74"/>
      <c r="I62" s="213"/>
      <c r="J62" s="213"/>
    </row>
    <row r="63" spans="1:10" ht="18">
      <c r="A63" s="292" t="s">
        <v>607</v>
      </c>
      <c r="B63" s="72" t="s">
        <v>244</v>
      </c>
      <c r="C63" s="72" t="s">
        <v>6</v>
      </c>
      <c r="D63" s="70"/>
      <c r="E63" s="72" t="s">
        <v>7</v>
      </c>
      <c r="F63" s="70"/>
      <c r="G63" s="72" t="s">
        <v>8</v>
      </c>
      <c r="H63" s="74"/>
      <c r="I63" s="213"/>
      <c r="J63" s="213"/>
    </row>
    <row r="64" spans="1:10" ht="18">
      <c r="A64" s="292" t="s">
        <v>608</v>
      </c>
      <c r="B64" s="72" t="s">
        <v>245</v>
      </c>
      <c r="C64" s="72" t="s">
        <v>6</v>
      </c>
      <c r="D64" s="70"/>
      <c r="E64" s="72" t="s">
        <v>7</v>
      </c>
      <c r="F64" s="70"/>
      <c r="G64" s="72" t="s">
        <v>8</v>
      </c>
      <c r="H64" s="74"/>
      <c r="I64" s="213"/>
      <c r="J64" s="213"/>
    </row>
    <row r="65" spans="1:10" ht="18">
      <c r="A65" s="292" t="s">
        <v>604</v>
      </c>
      <c r="B65" s="72" t="s">
        <v>246</v>
      </c>
      <c r="C65" s="72" t="s">
        <v>6</v>
      </c>
      <c r="D65" s="70"/>
      <c r="E65" s="72" t="s">
        <v>7</v>
      </c>
      <c r="F65" s="70"/>
      <c r="G65" s="72" t="s">
        <v>8</v>
      </c>
      <c r="H65" s="74"/>
      <c r="I65" s="213"/>
      <c r="J65" s="213"/>
    </row>
    <row r="66" spans="1:10" ht="18">
      <c r="A66" s="292" t="s">
        <v>605</v>
      </c>
      <c r="B66" s="72" t="s">
        <v>247</v>
      </c>
      <c r="C66" s="72" t="s">
        <v>6</v>
      </c>
      <c r="D66" s="70"/>
      <c r="E66" s="72" t="s">
        <v>7</v>
      </c>
      <c r="F66" s="70"/>
      <c r="G66" s="72" t="s">
        <v>8</v>
      </c>
      <c r="H66" s="74"/>
      <c r="I66" s="213"/>
      <c r="J66" s="213"/>
    </row>
    <row r="67" spans="1:10" ht="18">
      <c r="A67" s="292"/>
      <c r="B67" s="72" t="s">
        <v>248</v>
      </c>
      <c r="C67" s="72" t="s">
        <v>6</v>
      </c>
      <c r="D67" s="70"/>
      <c r="E67" s="72" t="s">
        <v>7</v>
      </c>
      <c r="F67" s="70"/>
      <c r="G67" s="72" t="s">
        <v>8</v>
      </c>
      <c r="H67" s="74"/>
      <c r="I67" s="213"/>
      <c r="J67" s="213"/>
    </row>
    <row r="68" spans="1:10" ht="18">
      <c r="A68" s="292"/>
      <c r="B68" s="72" t="s">
        <v>249</v>
      </c>
      <c r="C68" s="72" t="s">
        <v>6</v>
      </c>
      <c r="D68" s="70"/>
      <c r="E68" s="72" t="s">
        <v>7</v>
      </c>
      <c r="F68" s="70"/>
      <c r="G68" s="72" t="s">
        <v>8</v>
      </c>
      <c r="H68" s="74"/>
      <c r="I68" s="213"/>
      <c r="J68" s="213"/>
    </row>
    <row r="69" spans="1:10" ht="18">
      <c r="A69" s="292"/>
      <c r="B69" s="72"/>
      <c r="C69" s="72"/>
      <c r="D69" s="228"/>
      <c r="E69" s="72"/>
      <c r="F69" s="81"/>
      <c r="G69" s="72"/>
      <c r="H69" s="231"/>
      <c r="I69" s="213"/>
    </row>
    <row r="70" spans="1:10" ht="18">
      <c r="A70" s="293" t="s">
        <v>416</v>
      </c>
      <c r="B70" s="72" t="s">
        <v>16</v>
      </c>
      <c r="C70" s="72" t="s">
        <v>6</v>
      </c>
      <c r="D70" s="70"/>
      <c r="E70" s="72" t="s">
        <v>482</v>
      </c>
      <c r="F70" s="70"/>
      <c r="G70" s="72" t="s">
        <v>417</v>
      </c>
      <c r="H70" s="82"/>
      <c r="I70" s="213"/>
    </row>
    <row r="71" spans="1:10" ht="18">
      <c r="A71" s="292" t="s">
        <v>559</v>
      </c>
      <c r="B71" s="72" t="s">
        <v>17</v>
      </c>
      <c r="C71" s="72" t="s">
        <v>6</v>
      </c>
      <c r="D71" s="70"/>
      <c r="E71" s="72" t="s">
        <v>482</v>
      </c>
      <c r="F71" s="70"/>
      <c r="G71" s="72" t="s">
        <v>425</v>
      </c>
      <c r="H71" s="82"/>
      <c r="I71" s="213"/>
    </row>
    <row r="72" spans="1:10" ht="18">
      <c r="A72" s="292"/>
      <c r="B72" s="72" t="s">
        <v>18</v>
      </c>
      <c r="C72" s="72" t="s">
        <v>6</v>
      </c>
      <c r="D72" s="70"/>
      <c r="E72" s="72" t="s">
        <v>482</v>
      </c>
      <c r="F72" s="70"/>
      <c r="G72" s="72"/>
      <c r="H72" s="82"/>
      <c r="I72" s="213"/>
    </row>
    <row r="73" spans="1:10" ht="18">
      <c r="A73" s="292"/>
      <c r="B73" s="72" t="s">
        <v>243</v>
      </c>
      <c r="C73" s="72" t="s">
        <v>6</v>
      </c>
      <c r="D73" s="70"/>
      <c r="E73" s="72" t="s">
        <v>482</v>
      </c>
      <c r="F73" s="70"/>
      <c r="G73" s="72"/>
      <c r="H73" s="82"/>
      <c r="I73" s="213"/>
    </row>
    <row r="74" spans="1:10" ht="18">
      <c r="A74" s="292"/>
      <c r="B74" s="72"/>
      <c r="C74" s="72"/>
      <c r="D74" s="228"/>
      <c r="E74" s="72"/>
      <c r="F74" s="81"/>
      <c r="G74" s="72"/>
      <c r="H74" s="231"/>
      <c r="I74" s="213"/>
    </row>
    <row r="75" spans="1:10" ht="18">
      <c r="A75" s="293" t="s">
        <v>19</v>
      </c>
      <c r="B75" s="72" t="s">
        <v>16</v>
      </c>
      <c r="C75" s="72" t="s">
        <v>6</v>
      </c>
      <c r="D75" s="70"/>
      <c r="E75" s="72" t="s">
        <v>7</v>
      </c>
      <c r="F75" s="70"/>
      <c r="G75" s="72" t="s">
        <v>8</v>
      </c>
      <c r="H75" s="82"/>
      <c r="I75" s="213"/>
      <c r="J75" s="213"/>
    </row>
    <row r="76" spans="1:10" ht="18">
      <c r="A76" s="297" t="s">
        <v>233</v>
      </c>
      <c r="B76" s="72" t="s">
        <v>17</v>
      </c>
      <c r="C76" s="72" t="s">
        <v>6</v>
      </c>
      <c r="D76" s="70"/>
      <c r="E76" s="72" t="s">
        <v>7</v>
      </c>
      <c r="F76" s="70"/>
      <c r="G76" s="72" t="s">
        <v>8</v>
      </c>
      <c r="H76" s="82"/>
      <c r="I76" s="213"/>
      <c r="J76" s="213"/>
    </row>
    <row r="77" spans="1:10" ht="18">
      <c r="A77" s="292" t="s">
        <v>232</v>
      </c>
      <c r="B77" s="72" t="s">
        <v>18</v>
      </c>
      <c r="C77" s="72" t="s">
        <v>6</v>
      </c>
      <c r="D77" s="70"/>
      <c r="E77" s="72" t="s">
        <v>7</v>
      </c>
      <c r="F77" s="70"/>
      <c r="G77" s="72" t="s">
        <v>8</v>
      </c>
      <c r="H77" s="82"/>
      <c r="I77" s="213"/>
      <c r="J77" s="213"/>
    </row>
    <row r="78" spans="1:10" ht="18">
      <c r="A78" s="292" t="s">
        <v>609</v>
      </c>
      <c r="B78" s="72" t="s">
        <v>243</v>
      </c>
      <c r="C78" s="72" t="s">
        <v>6</v>
      </c>
      <c r="D78" s="70"/>
      <c r="E78" s="72" t="s">
        <v>7</v>
      </c>
      <c r="F78" s="70"/>
      <c r="G78" s="72" t="s">
        <v>8</v>
      </c>
      <c r="H78" s="82"/>
      <c r="I78" s="213"/>
      <c r="J78" s="213"/>
    </row>
    <row r="79" spans="1:10" ht="18">
      <c r="A79" s="292" t="s">
        <v>610</v>
      </c>
      <c r="B79" s="72" t="s">
        <v>244</v>
      </c>
      <c r="C79" s="72" t="s">
        <v>6</v>
      </c>
      <c r="D79" s="70"/>
      <c r="E79" s="72" t="s">
        <v>7</v>
      </c>
      <c r="F79" s="70"/>
      <c r="G79" s="72" t="s">
        <v>8</v>
      </c>
      <c r="H79" s="82"/>
      <c r="I79" s="213"/>
      <c r="J79" s="213"/>
    </row>
    <row r="80" spans="1:10" ht="18">
      <c r="A80" s="292" t="s">
        <v>611</v>
      </c>
      <c r="B80" s="72" t="s">
        <v>245</v>
      </c>
      <c r="C80" s="72" t="s">
        <v>6</v>
      </c>
      <c r="D80" s="70"/>
      <c r="E80" s="72" t="s">
        <v>7</v>
      </c>
      <c r="F80" s="70"/>
      <c r="G80" s="72" t="s">
        <v>8</v>
      </c>
      <c r="H80" s="82"/>
      <c r="I80" s="213"/>
      <c r="J80" s="213"/>
    </row>
    <row r="81" spans="1:10" ht="18">
      <c r="A81" s="292" t="s">
        <v>612</v>
      </c>
      <c r="B81" s="72" t="s">
        <v>246</v>
      </c>
      <c r="C81" s="72" t="s">
        <v>6</v>
      </c>
      <c r="D81" s="70"/>
      <c r="E81" s="72" t="s">
        <v>7</v>
      </c>
      <c r="F81" s="70"/>
      <c r="G81" s="72" t="s">
        <v>8</v>
      </c>
      <c r="H81" s="82"/>
      <c r="I81" s="213"/>
      <c r="J81" s="213"/>
    </row>
    <row r="82" spans="1:10" ht="18">
      <c r="A82" s="292" t="s">
        <v>613</v>
      </c>
      <c r="B82" s="72" t="s">
        <v>247</v>
      </c>
      <c r="C82" s="72" t="s">
        <v>6</v>
      </c>
      <c r="D82" s="70"/>
      <c r="E82" s="72" t="s">
        <v>7</v>
      </c>
      <c r="F82" s="70"/>
      <c r="G82" s="72" t="s">
        <v>8</v>
      </c>
      <c r="H82" s="82"/>
      <c r="I82" s="213"/>
      <c r="J82" s="213"/>
    </row>
    <row r="83" spans="1:10" ht="18">
      <c r="A83" s="292"/>
      <c r="B83" s="72" t="s">
        <v>248</v>
      </c>
      <c r="C83" s="72" t="s">
        <v>6</v>
      </c>
      <c r="D83" s="70"/>
      <c r="E83" s="72" t="s">
        <v>7</v>
      </c>
      <c r="F83" s="70"/>
      <c r="G83" s="72" t="s">
        <v>8</v>
      </c>
      <c r="H83" s="82"/>
      <c r="I83" s="213"/>
      <c r="J83" s="213"/>
    </row>
    <row r="84" spans="1:10" ht="18">
      <c r="A84" s="292"/>
      <c r="B84" s="72" t="s">
        <v>249</v>
      </c>
      <c r="C84" s="72" t="s">
        <v>6</v>
      </c>
      <c r="D84" s="70"/>
      <c r="E84" s="72" t="s">
        <v>7</v>
      </c>
      <c r="F84" s="70"/>
      <c r="G84" s="72" t="s">
        <v>8</v>
      </c>
      <c r="H84" s="82"/>
      <c r="I84" s="213"/>
      <c r="J84" s="213"/>
    </row>
    <row r="85" spans="1:10" ht="18">
      <c r="A85" s="292"/>
      <c r="B85" s="72"/>
      <c r="C85" s="72"/>
      <c r="D85" s="228"/>
      <c r="E85" s="72"/>
      <c r="F85" s="81"/>
      <c r="G85" s="72"/>
      <c r="H85" s="231"/>
      <c r="I85" s="213"/>
      <c r="J85" s="213"/>
    </row>
    <row r="86" spans="1:10" ht="18">
      <c r="A86" s="293" t="s">
        <v>2</v>
      </c>
      <c r="B86" s="72"/>
      <c r="C86" s="72" t="s">
        <v>37</v>
      </c>
      <c r="D86" s="70"/>
      <c r="E86" s="72"/>
      <c r="F86" s="206"/>
      <c r="G86" s="72"/>
      <c r="H86" s="231"/>
      <c r="I86" s="213"/>
      <c r="J86" s="213"/>
    </row>
    <row r="87" spans="1:10" ht="18">
      <c r="A87" s="292"/>
      <c r="B87" s="72"/>
      <c r="C87" s="72"/>
      <c r="D87" s="228"/>
      <c r="E87" s="72"/>
      <c r="F87" s="211"/>
      <c r="G87" s="72"/>
      <c r="H87" s="231"/>
      <c r="I87" s="213"/>
      <c r="J87" s="213"/>
    </row>
    <row r="88" spans="1:10" ht="18">
      <c r="A88" s="293" t="s">
        <v>39</v>
      </c>
      <c r="B88" s="72" t="s">
        <v>16</v>
      </c>
      <c r="C88" s="72" t="s">
        <v>6</v>
      </c>
      <c r="D88" s="70"/>
      <c r="E88" s="72" t="s">
        <v>7</v>
      </c>
      <c r="F88" s="71"/>
      <c r="G88" s="72" t="s">
        <v>8</v>
      </c>
      <c r="H88" s="74"/>
      <c r="I88" s="213"/>
    </row>
    <row r="89" spans="1:10" ht="18">
      <c r="A89" s="297" t="s">
        <v>233</v>
      </c>
      <c r="B89" s="72" t="s">
        <v>17</v>
      </c>
      <c r="C89" s="72" t="s">
        <v>6</v>
      </c>
      <c r="D89" s="70"/>
      <c r="E89" s="72" t="s">
        <v>7</v>
      </c>
      <c r="F89" s="71"/>
      <c r="G89" s="72" t="s">
        <v>8</v>
      </c>
      <c r="H89" s="74"/>
      <c r="I89" s="213"/>
      <c r="J89" s="213"/>
    </row>
    <row r="90" spans="1:10" ht="18">
      <c r="A90" s="292" t="s">
        <v>232</v>
      </c>
      <c r="B90" s="72"/>
      <c r="C90" s="303"/>
      <c r="D90" s="240"/>
      <c r="E90" s="110"/>
      <c r="F90" s="241"/>
      <c r="G90" s="110"/>
      <c r="H90" s="220"/>
      <c r="I90" s="213"/>
      <c r="J90" s="213"/>
    </row>
    <row r="91" spans="1:10" ht="18">
      <c r="A91" s="292"/>
      <c r="B91" s="72"/>
      <c r="C91" s="303"/>
      <c r="D91" s="242"/>
      <c r="E91" s="112"/>
      <c r="F91" s="243"/>
      <c r="G91" s="112"/>
      <c r="H91" s="244"/>
      <c r="I91" s="213"/>
      <c r="J91" s="213"/>
    </row>
    <row r="92" spans="1:10" ht="18">
      <c r="A92" s="298" t="s">
        <v>27</v>
      </c>
      <c r="B92" s="72"/>
      <c r="C92" s="72" t="s">
        <v>6</v>
      </c>
      <c r="D92" s="70"/>
      <c r="E92" s="72" t="s">
        <v>7</v>
      </c>
      <c r="F92" s="71"/>
      <c r="G92" s="72" t="s">
        <v>90</v>
      </c>
      <c r="H92" s="74"/>
      <c r="I92" s="213"/>
      <c r="J92" s="213"/>
    </row>
    <row r="93" spans="1:10" ht="18">
      <c r="A93" s="297" t="s">
        <v>493</v>
      </c>
      <c r="B93" s="72"/>
      <c r="C93" s="303"/>
      <c r="D93" s="240"/>
      <c r="E93" s="110"/>
      <c r="F93" s="241"/>
      <c r="G93" s="110"/>
      <c r="H93" s="220"/>
      <c r="I93" s="213"/>
      <c r="J93" s="213"/>
    </row>
    <row r="94" spans="1:10" ht="18">
      <c r="A94" s="297"/>
      <c r="B94" s="72"/>
      <c r="C94" s="304"/>
      <c r="D94" s="242"/>
      <c r="E94" s="112"/>
      <c r="F94" s="243"/>
      <c r="G94" s="112"/>
      <c r="H94" s="212"/>
      <c r="I94" s="213"/>
      <c r="J94" s="213"/>
    </row>
    <row r="95" spans="1:10" ht="18">
      <c r="A95" s="293" t="s">
        <v>50</v>
      </c>
      <c r="B95" s="181"/>
      <c r="C95" s="181" t="s">
        <v>449</v>
      </c>
      <c r="D95" s="246"/>
      <c r="E95" s="181"/>
      <c r="F95" s="245"/>
      <c r="G95" s="181"/>
      <c r="H95" s="247"/>
      <c r="I95" s="213"/>
      <c r="J95" s="213"/>
    </row>
    <row r="96" spans="1:10" ht="18">
      <c r="A96" s="292"/>
      <c r="B96" s="181"/>
      <c r="C96" s="305" t="s">
        <v>450</v>
      </c>
      <c r="D96" s="196"/>
      <c r="E96" s="181"/>
      <c r="F96" s="245"/>
      <c r="G96" s="181"/>
      <c r="H96" s="248"/>
      <c r="I96" s="213"/>
      <c r="J96" s="213"/>
    </row>
    <row r="97" spans="1:11" ht="18">
      <c r="A97" s="293" t="s">
        <v>614</v>
      </c>
      <c r="B97" s="181"/>
      <c r="C97" s="181" t="s">
        <v>327</v>
      </c>
      <c r="D97" s="249"/>
      <c r="E97" s="181"/>
      <c r="F97" s="249"/>
      <c r="G97" s="181"/>
      <c r="H97" s="231"/>
      <c r="I97" s="213"/>
      <c r="J97" s="213"/>
      <c r="K97" s="250"/>
    </row>
    <row r="98" spans="1:11" ht="18">
      <c r="A98" s="292"/>
      <c r="B98" s="181"/>
      <c r="C98" s="181" t="s">
        <v>451</v>
      </c>
      <c r="D98" s="196"/>
      <c r="E98" s="181"/>
      <c r="F98" s="192"/>
      <c r="G98" s="181"/>
      <c r="H98" s="231"/>
      <c r="I98" s="251"/>
      <c r="J98" s="213"/>
    </row>
    <row r="99" spans="1:11" ht="18">
      <c r="A99" s="293" t="s">
        <v>88</v>
      </c>
      <c r="B99" s="181"/>
      <c r="C99" s="182"/>
      <c r="D99" s="249"/>
      <c r="E99" s="197"/>
      <c r="F99" s="252"/>
      <c r="G99" s="181"/>
      <c r="H99" s="231"/>
      <c r="I99" s="213"/>
      <c r="J99" s="213"/>
    </row>
    <row r="100" spans="1:11" ht="18">
      <c r="A100" s="293" t="s">
        <v>405</v>
      </c>
      <c r="B100" s="181"/>
      <c r="C100" s="181" t="s">
        <v>35</v>
      </c>
      <c r="D100" s="196"/>
      <c r="E100" s="197"/>
      <c r="F100" s="252"/>
      <c r="G100" s="181"/>
      <c r="H100" s="231"/>
      <c r="I100" s="213"/>
      <c r="J100" s="213"/>
    </row>
    <row r="101" spans="1:11" ht="18">
      <c r="A101" s="292" t="s">
        <v>312</v>
      </c>
      <c r="B101" s="181"/>
      <c r="C101" s="181" t="s">
        <v>35</v>
      </c>
      <c r="D101" s="196"/>
      <c r="E101" s="181"/>
      <c r="F101" s="249"/>
      <c r="G101" s="181"/>
      <c r="H101" s="231"/>
      <c r="I101" s="213"/>
      <c r="J101" s="213"/>
    </row>
    <row r="102" spans="1:11" ht="18">
      <c r="A102" s="292"/>
      <c r="B102" s="181"/>
      <c r="C102" s="181"/>
      <c r="D102" s="253"/>
      <c r="E102" s="181"/>
      <c r="F102" s="249"/>
      <c r="G102" s="181"/>
      <c r="H102" s="231"/>
      <c r="I102" s="213"/>
      <c r="J102" s="213"/>
    </row>
    <row r="103" spans="1:11" ht="18">
      <c r="A103" s="293" t="s">
        <v>89</v>
      </c>
      <c r="B103" s="181"/>
      <c r="C103" s="181" t="s">
        <v>35</v>
      </c>
      <c r="D103" s="187"/>
      <c r="E103" s="197"/>
      <c r="F103" s="252"/>
      <c r="G103" s="181"/>
      <c r="H103" s="231"/>
      <c r="I103" s="213"/>
    </row>
    <row r="104" spans="1:11" ht="18">
      <c r="A104" s="292"/>
      <c r="B104" s="181"/>
      <c r="C104" s="181"/>
      <c r="D104" s="192"/>
      <c r="E104" s="181"/>
      <c r="F104" s="192"/>
      <c r="G104" s="181"/>
      <c r="H104" s="231"/>
      <c r="I104" s="213"/>
      <c r="J104" s="213"/>
    </row>
    <row r="105" spans="1:11" ht="18">
      <c r="A105" s="293" t="s">
        <v>3</v>
      </c>
      <c r="B105" s="181"/>
      <c r="C105" s="181" t="s">
        <v>9</v>
      </c>
      <c r="D105" s="187"/>
      <c r="E105" s="181" t="s">
        <v>486</v>
      </c>
      <c r="F105" s="187"/>
      <c r="G105" s="181"/>
      <c r="H105" s="231"/>
      <c r="I105" s="213"/>
      <c r="J105" s="213"/>
    </row>
    <row r="106" spans="1:11" ht="18">
      <c r="A106" s="292"/>
      <c r="B106" s="181"/>
      <c r="C106" s="181"/>
      <c r="D106" s="192"/>
      <c r="E106" s="181"/>
      <c r="F106" s="192"/>
      <c r="G106" s="181"/>
      <c r="H106" s="231"/>
      <c r="I106" s="213"/>
      <c r="J106" s="213"/>
    </row>
    <row r="107" spans="1:11" ht="18">
      <c r="A107" s="293" t="s">
        <v>4</v>
      </c>
      <c r="B107" s="181" t="s">
        <v>16</v>
      </c>
      <c r="C107" s="181" t="s">
        <v>6</v>
      </c>
      <c r="D107" s="187"/>
      <c r="E107" s="181" t="s">
        <v>7</v>
      </c>
      <c r="F107" s="187"/>
      <c r="G107" s="181" t="s">
        <v>95</v>
      </c>
      <c r="H107" s="195"/>
      <c r="I107" s="213"/>
      <c r="J107" s="213"/>
    </row>
    <row r="108" spans="1:11" ht="18">
      <c r="A108" s="295" t="s">
        <v>11</v>
      </c>
      <c r="B108" s="181"/>
      <c r="C108" s="181" t="s">
        <v>488</v>
      </c>
      <c r="D108" s="187"/>
      <c r="E108" s="181" t="s">
        <v>489</v>
      </c>
      <c r="F108" s="187"/>
      <c r="G108" s="181" t="s">
        <v>490</v>
      </c>
      <c r="H108" s="195"/>
      <c r="I108" s="213"/>
      <c r="J108" s="213"/>
    </row>
    <row r="109" spans="1:11" ht="18">
      <c r="A109" s="306"/>
      <c r="B109" s="181" t="s">
        <v>17</v>
      </c>
      <c r="C109" s="181" t="s">
        <v>6</v>
      </c>
      <c r="D109" s="187"/>
      <c r="E109" s="181" t="s">
        <v>7</v>
      </c>
      <c r="F109" s="187"/>
      <c r="G109" s="181" t="s">
        <v>95</v>
      </c>
      <c r="H109" s="195"/>
      <c r="I109" s="213"/>
      <c r="J109" s="213"/>
    </row>
    <row r="110" spans="1:11" ht="18">
      <c r="A110" s="295" t="s">
        <v>11</v>
      </c>
      <c r="B110" s="181"/>
      <c r="C110" s="181" t="s">
        <v>488</v>
      </c>
      <c r="D110" s="187"/>
      <c r="E110" s="181" t="s">
        <v>489</v>
      </c>
      <c r="F110" s="187"/>
      <c r="G110" s="181" t="s">
        <v>490</v>
      </c>
      <c r="H110" s="195"/>
      <c r="I110" s="213"/>
      <c r="J110" s="213"/>
    </row>
    <row r="111" spans="1:11" ht="18">
      <c r="A111" s="306"/>
      <c r="B111" s="181" t="s">
        <v>18</v>
      </c>
      <c r="C111" s="181" t="s">
        <v>6</v>
      </c>
      <c r="D111" s="187"/>
      <c r="E111" s="181" t="s">
        <v>7</v>
      </c>
      <c r="F111" s="187"/>
      <c r="G111" s="181" t="s">
        <v>95</v>
      </c>
      <c r="H111" s="195"/>
      <c r="I111" s="254"/>
      <c r="J111" s="213"/>
    </row>
    <row r="112" spans="1:11" ht="18">
      <c r="A112" s="295" t="s">
        <v>11</v>
      </c>
      <c r="B112" s="181"/>
      <c r="C112" s="181" t="s">
        <v>488</v>
      </c>
      <c r="D112" s="187"/>
      <c r="E112" s="181" t="s">
        <v>489</v>
      </c>
      <c r="F112" s="187"/>
      <c r="G112" s="181" t="s">
        <v>490</v>
      </c>
      <c r="H112" s="195"/>
      <c r="I112" s="213"/>
      <c r="J112" s="213"/>
    </row>
    <row r="113" spans="1:10" ht="18">
      <c r="A113" s="295"/>
      <c r="B113" s="181" t="s">
        <v>243</v>
      </c>
      <c r="C113" s="181" t="s">
        <v>6</v>
      </c>
      <c r="D113" s="187"/>
      <c r="E113" s="181" t="s">
        <v>7</v>
      </c>
      <c r="F113" s="187"/>
      <c r="G113" s="181" t="s">
        <v>95</v>
      </c>
      <c r="H113" s="195"/>
      <c r="I113" s="213"/>
      <c r="J113" s="213"/>
    </row>
    <row r="114" spans="1:10" ht="18">
      <c r="A114" s="295" t="s">
        <v>11</v>
      </c>
      <c r="B114" s="181"/>
      <c r="C114" s="181" t="s">
        <v>488</v>
      </c>
      <c r="D114" s="187"/>
      <c r="E114" s="181" t="s">
        <v>489</v>
      </c>
      <c r="F114" s="187"/>
      <c r="G114" s="181" t="s">
        <v>490</v>
      </c>
      <c r="H114" s="195"/>
      <c r="I114" s="213"/>
      <c r="J114" s="213"/>
    </row>
    <row r="115" spans="1:10" ht="18">
      <c r="A115" s="295"/>
      <c r="B115" s="181" t="s">
        <v>244</v>
      </c>
      <c r="C115" s="181" t="s">
        <v>6</v>
      </c>
      <c r="D115" s="187"/>
      <c r="E115" s="181" t="s">
        <v>7</v>
      </c>
      <c r="F115" s="187"/>
      <c r="G115" s="181" t="s">
        <v>95</v>
      </c>
      <c r="H115" s="195"/>
      <c r="I115" s="213"/>
      <c r="J115" s="213"/>
    </row>
    <row r="116" spans="1:10" ht="18">
      <c r="A116" s="295" t="s">
        <v>11</v>
      </c>
      <c r="B116" s="181"/>
      <c r="C116" s="181" t="s">
        <v>488</v>
      </c>
      <c r="D116" s="187"/>
      <c r="E116" s="181" t="s">
        <v>489</v>
      </c>
      <c r="F116" s="187"/>
      <c r="G116" s="181" t="s">
        <v>490</v>
      </c>
      <c r="H116" s="195"/>
      <c r="I116" s="213"/>
      <c r="J116" s="213"/>
    </row>
    <row r="117" spans="1:10" ht="18">
      <c r="A117" s="295"/>
      <c r="B117" s="72"/>
      <c r="C117" s="307"/>
      <c r="D117" s="255"/>
      <c r="E117" s="307"/>
      <c r="F117" s="218"/>
      <c r="G117" s="110"/>
      <c r="H117" s="256"/>
      <c r="I117" s="213"/>
      <c r="J117" s="213"/>
    </row>
    <row r="118" spans="1:10" ht="18">
      <c r="A118" s="298" t="s">
        <v>137</v>
      </c>
      <c r="B118" s="72"/>
      <c r="C118" s="181" t="s">
        <v>37</v>
      </c>
      <c r="D118" s="187"/>
      <c r="E118" s="181"/>
      <c r="F118" s="257"/>
      <c r="G118" s="324"/>
      <c r="H118" s="212"/>
      <c r="I118" s="213"/>
      <c r="J118" s="213"/>
    </row>
    <row r="119" spans="1:10" ht="18">
      <c r="A119" s="295"/>
      <c r="B119" s="72"/>
      <c r="C119" s="72"/>
      <c r="D119" s="216"/>
      <c r="E119" s="303"/>
      <c r="F119" s="243"/>
      <c r="G119" s="112"/>
      <c r="H119" s="212"/>
      <c r="I119" s="213"/>
      <c r="J119" s="213"/>
    </row>
    <row r="120" spans="1:10" ht="18">
      <c r="A120" s="293" t="s">
        <v>36</v>
      </c>
      <c r="B120" s="72"/>
      <c r="C120" s="72" t="s">
        <v>37</v>
      </c>
      <c r="D120" s="178"/>
      <c r="E120" s="181"/>
      <c r="F120" s="192"/>
      <c r="G120" s="181"/>
      <c r="H120" s="258"/>
      <c r="I120" s="213"/>
      <c r="J120" s="213"/>
    </row>
    <row r="121" spans="1:10" ht="18">
      <c r="A121" s="293"/>
      <c r="B121" s="72"/>
      <c r="C121" s="72"/>
      <c r="D121" s="259"/>
      <c r="E121" s="181"/>
      <c r="F121" s="192"/>
      <c r="G121" s="181"/>
      <c r="H121" s="227"/>
      <c r="I121" s="213"/>
      <c r="J121" s="213"/>
    </row>
    <row r="122" spans="1:10" ht="18">
      <c r="A122" s="293" t="s">
        <v>332</v>
      </c>
      <c r="B122" s="72" t="s">
        <v>16</v>
      </c>
      <c r="C122" s="72" t="s">
        <v>6</v>
      </c>
      <c r="D122" s="178"/>
      <c r="E122" s="181" t="s">
        <v>483</v>
      </c>
      <c r="F122" s="187"/>
      <c r="G122" s="181"/>
      <c r="H122" s="260"/>
      <c r="I122" s="213"/>
      <c r="J122" s="213"/>
    </row>
    <row r="123" spans="1:10" ht="18">
      <c r="A123" s="292" t="s">
        <v>499</v>
      </c>
      <c r="B123" s="72" t="s">
        <v>17</v>
      </c>
      <c r="C123" s="72" t="s">
        <v>6</v>
      </c>
      <c r="D123" s="178"/>
      <c r="E123" s="181" t="s">
        <v>483</v>
      </c>
      <c r="F123" s="187"/>
      <c r="G123" s="181"/>
      <c r="H123" s="260"/>
      <c r="I123" s="213"/>
    </row>
    <row r="124" spans="1:10" ht="18">
      <c r="A124" s="293"/>
      <c r="B124" s="72" t="s">
        <v>18</v>
      </c>
      <c r="C124" s="72" t="s">
        <v>6</v>
      </c>
      <c r="D124" s="178"/>
      <c r="E124" s="181" t="s">
        <v>483</v>
      </c>
      <c r="F124" s="187"/>
      <c r="G124" s="181"/>
      <c r="H124" s="260"/>
      <c r="I124" s="213"/>
      <c r="J124" s="213"/>
    </row>
    <row r="125" spans="1:10" ht="18">
      <c r="A125" s="293"/>
      <c r="B125" s="72" t="s">
        <v>243</v>
      </c>
      <c r="C125" s="72" t="s">
        <v>6</v>
      </c>
      <c r="D125" s="178"/>
      <c r="E125" s="181" t="s">
        <v>483</v>
      </c>
      <c r="F125" s="187"/>
      <c r="G125" s="181"/>
      <c r="H125" s="260"/>
      <c r="I125" s="213"/>
      <c r="J125" s="213"/>
    </row>
    <row r="126" spans="1:10" ht="18">
      <c r="A126" s="293"/>
      <c r="B126" s="72" t="s">
        <v>244</v>
      </c>
      <c r="C126" s="72" t="s">
        <v>6</v>
      </c>
      <c r="D126" s="178"/>
      <c r="E126" s="181" t="s">
        <v>483</v>
      </c>
      <c r="F126" s="187"/>
      <c r="G126" s="181"/>
      <c r="H126" s="260"/>
      <c r="I126" s="213"/>
      <c r="J126" s="213"/>
    </row>
    <row r="127" spans="1:10" ht="18">
      <c r="A127" s="293"/>
      <c r="B127" s="72" t="s">
        <v>245</v>
      </c>
      <c r="C127" s="72" t="s">
        <v>6</v>
      </c>
      <c r="D127" s="178"/>
      <c r="E127" s="181" t="s">
        <v>483</v>
      </c>
      <c r="F127" s="187"/>
      <c r="G127" s="181"/>
      <c r="H127" s="260"/>
      <c r="I127" s="213"/>
      <c r="J127" s="213"/>
    </row>
    <row r="128" spans="1:10" ht="18">
      <c r="A128" s="293"/>
      <c r="B128" s="72"/>
      <c r="C128" s="72"/>
      <c r="D128" s="81"/>
      <c r="E128" s="181"/>
      <c r="F128" s="192"/>
      <c r="G128" s="181"/>
      <c r="H128" s="260"/>
      <c r="I128" s="213"/>
      <c r="J128" s="213"/>
    </row>
    <row r="129" spans="1:11" ht="18">
      <c r="A129" s="293" t="s">
        <v>330</v>
      </c>
      <c r="B129" s="72"/>
      <c r="C129" s="72" t="s">
        <v>145</v>
      </c>
      <c r="D129" s="206"/>
      <c r="E129" s="181"/>
      <c r="F129" s="245"/>
      <c r="G129" s="181"/>
      <c r="H129" s="227"/>
      <c r="I129" s="213"/>
      <c r="J129" s="213"/>
    </row>
    <row r="130" spans="1:11" ht="18">
      <c r="A130" s="297" t="s">
        <v>331</v>
      </c>
      <c r="B130" s="72"/>
      <c r="C130" s="72" t="s">
        <v>302</v>
      </c>
      <c r="D130" s="189"/>
      <c r="E130" s="319" t="s">
        <v>487</v>
      </c>
      <c r="F130" s="261"/>
      <c r="G130" s="319"/>
      <c r="H130" s="247"/>
      <c r="I130" s="213"/>
      <c r="J130" s="213"/>
    </row>
    <row r="131" spans="1:11" ht="18">
      <c r="A131" s="308"/>
      <c r="B131" s="181"/>
      <c r="C131" s="181" t="s">
        <v>5</v>
      </c>
      <c r="D131" s="187"/>
      <c r="E131" s="197" t="s">
        <v>487</v>
      </c>
      <c r="F131" s="249"/>
      <c r="G131" s="181"/>
      <c r="H131" s="247"/>
      <c r="I131" s="213"/>
      <c r="J131" s="213"/>
    </row>
    <row r="132" spans="1:11" ht="18">
      <c r="A132" s="308"/>
      <c r="B132" s="181"/>
      <c r="C132" s="181"/>
      <c r="D132" s="252"/>
      <c r="E132" s="181"/>
      <c r="F132" s="252"/>
      <c r="G132" s="181"/>
      <c r="H132" s="262"/>
      <c r="I132" s="213"/>
      <c r="J132" s="213"/>
    </row>
    <row r="133" spans="1:11" ht="18">
      <c r="A133" s="309" t="s">
        <v>38</v>
      </c>
      <c r="B133" s="181"/>
      <c r="C133" s="181"/>
      <c r="D133" s="252"/>
      <c r="E133" s="181"/>
      <c r="F133" s="192"/>
      <c r="G133" s="181"/>
      <c r="H133" s="263"/>
      <c r="I133" s="264"/>
      <c r="J133" s="213"/>
    </row>
    <row r="134" spans="1:11" ht="18">
      <c r="A134" s="310" t="s">
        <v>105</v>
      </c>
      <c r="B134" s="181"/>
      <c r="C134" s="181" t="s">
        <v>37</v>
      </c>
      <c r="D134" s="187"/>
      <c r="E134" s="181"/>
      <c r="F134" s="192"/>
      <c r="G134" s="181"/>
      <c r="H134" s="265"/>
      <c r="I134" s="213"/>
      <c r="J134" s="213"/>
    </row>
    <row r="135" spans="1:11" ht="18">
      <c r="A135" s="310" t="s">
        <v>106</v>
      </c>
      <c r="B135" s="181"/>
      <c r="C135" s="181" t="s">
        <v>37</v>
      </c>
      <c r="D135" s="187"/>
      <c r="E135" s="181"/>
      <c r="F135" s="192"/>
      <c r="G135" s="181"/>
      <c r="H135" s="266"/>
      <c r="I135" s="213"/>
      <c r="J135" s="213"/>
    </row>
    <row r="136" spans="1:11" ht="18">
      <c r="A136" s="182"/>
      <c r="B136" s="181"/>
      <c r="C136" s="181"/>
      <c r="D136" s="252"/>
      <c r="E136" s="181"/>
      <c r="F136" s="192"/>
      <c r="G136" s="181"/>
      <c r="H136" s="266"/>
      <c r="I136" s="213"/>
      <c r="J136" s="267"/>
    </row>
    <row r="137" spans="1:11" ht="18">
      <c r="A137" s="309" t="s">
        <v>40</v>
      </c>
      <c r="B137" s="181"/>
      <c r="C137" s="181" t="s">
        <v>37</v>
      </c>
      <c r="D137" s="187"/>
      <c r="E137" s="320"/>
      <c r="F137" s="246"/>
      <c r="G137" s="320"/>
      <c r="H137" s="268"/>
      <c r="I137" s="213"/>
      <c r="J137" s="213"/>
    </row>
    <row r="138" spans="1:11" ht="18">
      <c r="A138" s="182"/>
      <c r="B138" s="181"/>
      <c r="C138" s="181"/>
      <c r="D138" s="252"/>
      <c r="E138" s="320"/>
      <c r="F138" s="246"/>
      <c r="G138" s="320"/>
      <c r="H138" s="268"/>
      <c r="I138" s="269"/>
      <c r="J138" s="270"/>
      <c r="K138" s="271"/>
    </row>
    <row r="139" spans="1:11" ht="18">
      <c r="A139" s="309" t="s">
        <v>41</v>
      </c>
      <c r="B139" s="181"/>
      <c r="C139" s="181" t="s">
        <v>37</v>
      </c>
      <c r="D139" s="191"/>
      <c r="E139" s="321"/>
      <c r="F139" s="272"/>
      <c r="G139" s="321"/>
      <c r="H139" s="273"/>
      <c r="I139" s="213"/>
      <c r="J139" s="213"/>
    </row>
    <row r="140" spans="1:11" ht="18">
      <c r="A140" s="182"/>
      <c r="B140" s="181"/>
      <c r="C140" s="181"/>
      <c r="D140" s="252"/>
      <c r="E140" s="181"/>
      <c r="F140" s="274"/>
      <c r="G140" s="182"/>
      <c r="H140" s="275"/>
      <c r="I140" s="213"/>
      <c r="J140" s="213"/>
    </row>
    <row r="141" spans="1:11" ht="18">
      <c r="A141" s="309" t="s">
        <v>42</v>
      </c>
      <c r="B141" s="181"/>
      <c r="C141" s="181" t="s">
        <v>43</v>
      </c>
      <c r="D141" s="191"/>
      <c r="E141" s="183"/>
      <c r="F141" s="184"/>
      <c r="G141" s="185"/>
      <c r="H141" s="180"/>
      <c r="I141" s="267"/>
      <c r="J141" s="213"/>
    </row>
    <row r="142" spans="1:11" ht="18">
      <c r="A142" s="309"/>
      <c r="B142" s="181"/>
      <c r="C142" s="181"/>
      <c r="D142" s="192"/>
      <c r="E142" s="185"/>
      <c r="F142" s="194"/>
      <c r="G142" s="185"/>
      <c r="H142" s="276"/>
      <c r="I142" s="213"/>
      <c r="J142" s="213"/>
    </row>
    <row r="143" spans="1:11" ht="18">
      <c r="A143" s="309" t="s">
        <v>458</v>
      </c>
      <c r="B143" s="181"/>
      <c r="C143" s="181" t="s">
        <v>149</v>
      </c>
      <c r="D143" s="193"/>
      <c r="E143" s="182"/>
      <c r="F143" s="249"/>
      <c r="G143" s="186"/>
      <c r="H143" s="277"/>
      <c r="I143" s="213"/>
      <c r="J143" s="213"/>
    </row>
    <row r="144" spans="1:11" ht="18">
      <c r="A144" s="309"/>
      <c r="B144" s="181"/>
      <c r="C144" s="181"/>
      <c r="D144" s="194"/>
      <c r="E144" s="182"/>
      <c r="F144" s="249"/>
      <c r="G144" s="186"/>
      <c r="H144" s="278"/>
      <c r="I144" s="213"/>
      <c r="J144" s="213"/>
    </row>
    <row r="145" spans="1:10" ht="18">
      <c r="A145" s="309" t="s">
        <v>573</v>
      </c>
      <c r="B145" s="181"/>
      <c r="C145" s="181" t="s">
        <v>149</v>
      </c>
      <c r="D145" s="193"/>
      <c r="E145" s="182" t="s">
        <v>590</v>
      </c>
      <c r="F145" s="246"/>
      <c r="G145" s="320"/>
      <c r="H145" s="279"/>
      <c r="I145" s="280"/>
    </row>
    <row r="146" spans="1:10" ht="18">
      <c r="A146" s="309"/>
      <c r="B146" s="181"/>
      <c r="C146" s="181"/>
      <c r="D146" s="194"/>
      <c r="E146" s="182"/>
      <c r="F146" s="246"/>
      <c r="G146" s="320"/>
      <c r="H146" s="279"/>
      <c r="I146" s="280"/>
    </row>
    <row r="147" spans="1:10" ht="18">
      <c r="A147" s="309" t="s">
        <v>589</v>
      </c>
      <c r="B147" s="181"/>
      <c r="C147" s="181" t="s">
        <v>37</v>
      </c>
      <c r="D147" s="187"/>
      <c r="E147" s="197" t="s">
        <v>591</v>
      </c>
      <c r="F147" s="192"/>
      <c r="G147" s="181"/>
      <c r="H147" s="227"/>
      <c r="I147" s="280"/>
      <c r="J147" s="213"/>
    </row>
    <row r="148" spans="1:10" ht="18">
      <c r="A148" s="182"/>
      <c r="B148" s="181"/>
      <c r="C148" s="181"/>
      <c r="D148" s="252"/>
      <c r="E148" s="181"/>
      <c r="F148" s="192"/>
      <c r="G148" s="181"/>
      <c r="H148" s="281"/>
      <c r="I148" s="213"/>
      <c r="J148" s="213"/>
    </row>
    <row r="149" spans="1:10" ht="18">
      <c r="A149" s="311" t="s">
        <v>45</v>
      </c>
      <c r="B149" s="181"/>
      <c r="C149" s="190" t="s">
        <v>47</v>
      </c>
      <c r="D149" s="187"/>
      <c r="E149" s="197" t="s">
        <v>287</v>
      </c>
      <c r="F149" s="245"/>
      <c r="G149" s="181"/>
      <c r="H149" s="281"/>
      <c r="I149" s="213"/>
      <c r="J149" s="213"/>
    </row>
    <row r="150" spans="1:10" ht="18">
      <c r="A150" s="182"/>
      <c r="B150" s="181"/>
      <c r="C150" s="188"/>
      <c r="D150" s="245"/>
      <c r="E150" s="181"/>
      <c r="F150" s="245"/>
      <c r="G150" s="181"/>
      <c r="H150" s="282"/>
      <c r="I150" s="213"/>
      <c r="J150" s="213"/>
    </row>
    <row r="151" spans="1:10" ht="18">
      <c r="A151" s="311" t="s">
        <v>46</v>
      </c>
      <c r="B151" s="312"/>
      <c r="C151" s="190" t="s">
        <v>47</v>
      </c>
      <c r="D151" s="187"/>
      <c r="E151" s="197" t="s">
        <v>287</v>
      </c>
      <c r="F151" s="245"/>
      <c r="G151" s="181"/>
      <c r="H151" s="282"/>
      <c r="I151" s="213"/>
      <c r="J151" s="213"/>
    </row>
    <row r="152" spans="1:10" ht="18">
      <c r="A152" s="313"/>
      <c r="B152" s="75"/>
      <c r="C152" s="111"/>
      <c r="D152" s="81"/>
      <c r="E152" s="322"/>
      <c r="F152" s="283"/>
      <c r="G152" s="325"/>
      <c r="H152" s="282"/>
      <c r="I152" s="213"/>
      <c r="J152" s="213"/>
    </row>
    <row r="153" spans="1:10" ht="18">
      <c r="A153" s="300" t="s">
        <v>424</v>
      </c>
      <c r="B153" s="301"/>
      <c r="C153" s="314"/>
      <c r="D153" s="187"/>
      <c r="E153" s="197" t="s">
        <v>520</v>
      </c>
      <c r="F153" s="245"/>
      <c r="G153" s="181"/>
      <c r="H153" s="231"/>
      <c r="I153" s="213"/>
      <c r="J153" s="213"/>
    </row>
    <row r="154" spans="1:10" ht="18.75" thickBot="1">
      <c r="A154" s="292"/>
      <c r="B154" s="72"/>
      <c r="C154" s="315"/>
      <c r="D154" s="246"/>
      <c r="E154" s="181"/>
      <c r="F154" s="245"/>
      <c r="G154" s="181"/>
      <c r="H154" s="231"/>
      <c r="I154" s="213"/>
      <c r="J154" s="213"/>
    </row>
    <row r="155" spans="1:10" ht="24" thickBot="1">
      <c r="A155" s="316" t="s">
        <v>14</v>
      </c>
      <c r="B155" s="317"/>
      <c r="C155" s="83" t="str">
        <f>IF(AND(D149&gt;0,D151&gt;0),Calculations!L418,"DATA NEEDED")</f>
        <v>DATA NEEDED</v>
      </c>
      <c r="D155" s="284"/>
      <c r="E155" s="323"/>
      <c r="F155" s="285"/>
      <c r="G155" s="323"/>
      <c r="H155" s="286"/>
      <c r="I155" s="213"/>
      <c r="J155" s="213"/>
    </row>
    <row r="157" spans="1:10">
      <c r="E157" s="287" t="s">
        <v>588</v>
      </c>
    </row>
    <row r="158" spans="1:10">
      <c r="A158" s="205" t="s">
        <v>615</v>
      </c>
    </row>
    <row r="220" spans="16:28">
      <c r="P220" s="288"/>
      <c r="Q220" s="288"/>
      <c r="R220" s="288"/>
      <c r="S220" s="288"/>
      <c r="T220" s="288"/>
      <c r="U220" s="288"/>
      <c r="V220" s="288"/>
      <c r="W220" s="288"/>
      <c r="X220" s="288"/>
      <c r="Y220" s="288"/>
      <c r="Z220" s="288"/>
      <c r="AA220" s="288"/>
      <c r="AB220" s="288"/>
    </row>
    <row r="221" spans="16:28">
      <c r="P221" s="288"/>
      <c r="Q221" s="288"/>
      <c r="R221" s="288"/>
      <c r="S221" s="288"/>
      <c r="T221" s="288"/>
      <c r="U221" s="288"/>
      <c r="V221" s="288"/>
      <c r="W221" s="288"/>
      <c r="X221" s="288"/>
      <c r="Y221" s="288"/>
      <c r="Z221" s="288"/>
      <c r="AA221" s="288"/>
      <c r="AB221" s="288"/>
    </row>
    <row r="222" spans="16:28">
      <c r="P222" s="288"/>
      <c r="Q222" s="288"/>
      <c r="R222" s="288"/>
      <c r="S222" s="288"/>
      <c r="T222" s="288"/>
      <c r="U222" s="288"/>
      <c r="V222" s="288"/>
      <c r="W222" s="288"/>
      <c r="X222" s="288"/>
      <c r="Y222" s="288"/>
      <c r="Z222" s="288"/>
      <c r="AA222" s="288"/>
      <c r="AB222" s="288"/>
    </row>
    <row r="223" spans="16:28">
      <c r="P223" s="288"/>
      <c r="Q223" s="288"/>
      <c r="R223" s="288"/>
      <c r="S223" s="288"/>
      <c r="T223" s="288"/>
      <c r="U223" s="288"/>
      <c r="V223" s="288"/>
      <c r="W223" s="288"/>
      <c r="X223" s="288"/>
      <c r="Y223" s="288"/>
      <c r="Z223" s="288"/>
      <c r="AA223" s="288"/>
      <c r="AB223" s="288"/>
    </row>
    <row r="224" spans="16:28">
      <c r="P224" s="288"/>
      <c r="Q224" s="288"/>
      <c r="R224" s="288"/>
      <c r="S224" s="288"/>
      <c r="T224" s="288"/>
      <c r="U224" s="288"/>
      <c r="V224" s="288"/>
      <c r="W224" s="288"/>
      <c r="X224" s="288"/>
      <c r="Y224" s="288"/>
      <c r="Z224" s="288"/>
      <c r="AA224" s="288"/>
      <c r="AB224" s="288"/>
    </row>
    <row r="225" spans="16:28">
      <c r="P225" s="288"/>
      <c r="Q225" s="288"/>
      <c r="R225" s="288"/>
      <c r="S225" s="288"/>
      <c r="T225" s="288"/>
      <c r="U225" s="288"/>
      <c r="V225" s="288"/>
      <c r="W225" s="288"/>
      <c r="X225" s="288"/>
      <c r="Y225" s="288"/>
      <c r="Z225" s="288"/>
      <c r="AA225" s="288"/>
      <c r="AB225" s="288"/>
    </row>
    <row r="226" spans="16:28">
      <c r="P226" s="288"/>
      <c r="Q226" s="288"/>
      <c r="R226" s="288"/>
      <c r="S226" s="288"/>
      <c r="T226" s="288"/>
      <c r="U226" s="288"/>
      <c r="V226" s="288"/>
      <c r="W226" s="288"/>
      <c r="X226" s="288"/>
      <c r="Y226" s="288"/>
      <c r="Z226" s="288"/>
      <c r="AA226" s="288"/>
      <c r="AB226" s="288"/>
    </row>
    <row r="248" spans="1:1">
      <c r="A248" s="289"/>
    </row>
    <row r="351" spans="1:1" ht="15">
      <c r="A351" s="209" t="s">
        <v>110</v>
      </c>
    </row>
  </sheetData>
  <sheetProtection password="CF83" sheet="1" objects="1" scenarios="1" selectLockedCells="1"/>
  <phoneticPr fontId="12" type="noConversion"/>
  <dataValidations count="3">
    <dataValidation type="textLength" allowBlank="1" showInputMessage="1" showErrorMessage="1" errorTitle="Incorrect entry!" error="Enter only X in this cell.  No numbers!" sqref="D153 H108 H116 H114 H112 H110">
      <formula1>1</formula1>
      <formula2>1</formula2>
    </dataValidation>
    <dataValidation type="textLength" allowBlank="1" showInputMessage="1" showErrorMessage="1" errorTitle="Incorrect entry!" error="Enter only X in this cell.  No numbers." sqref="D108 D116 D114 D112 D110">
      <formula1>1</formula1>
      <formula2>1</formula2>
    </dataValidation>
    <dataValidation type="textLength" allowBlank="1" showInputMessage="1" showErrorMessage="1" errorTitle="Incorrect entry!" error="Enter only x in this cell.  No numbers!" sqref="F108 F116 F114 F112 F110">
      <formula1>1</formula1>
      <formula2>1</formula2>
    </dataValidation>
  </dataValidations>
  <printOptions headings="1" gridLines="1"/>
  <pageMargins left="0.75" right="0.75" top="1" bottom="1" header="0.5" footer="0.5"/>
  <pageSetup scale="55" fitToHeight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18"/>
  <sheetViews>
    <sheetView topLeftCell="A374" workbookViewId="0">
      <selection activeCell="I29" sqref="I29"/>
    </sheetView>
  </sheetViews>
  <sheetFormatPr defaultRowHeight="12.75"/>
  <cols>
    <col min="1" max="1" width="33.7109375" customWidth="1"/>
    <col min="2" max="2" width="10.140625" bestFit="1" customWidth="1"/>
    <col min="3" max="3" width="17" customWidth="1"/>
    <col min="4" max="4" width="11" customWidth="1"/>
    <col min="5" max="5" width="11.140625" customWidth="1"/>
    <col min="6" max="6" width="11.7109375" customWidth="1"/>
    <col min="7" max="7" width="10.85546875" customWidth="1"/>
    <col min="8" max="8" width="10.5703125" customWidth="1"/>
    <col min="9" max="9" width="12.5703125" customWidth="1"/>
    <col min="12" max="12" width="11.140625" customWidth="1"/>
  </cols>
  <sheetData>
    <row r="1" spans="1:11" ht="15.75">
      <c r="A1" s="41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ht="15">
      <c r="A2" s="44" t="s">
        <v>224</v>
      </c>
      <c r="B2" s="115" t="s">
        <v>225</v>
      </c>
      <c r="C2" s="13"/>
      <c r="D2" s="13"/>
      <c r="E2" s="13"/>
      <c r="F2" s="13"/>
      <c r="G2" s="13"/>
      <c r="H2" s="13"/>
      <c r="I2" s="13"/>
      <c r="J2" s="13"/>
      <c r="K2" s="14"/>
    </row>
    <row r="3" spans="1:11">
      <c r="A3" s="18" t="s">
        <v>21</v>
      </c>
      <c r="B3" s="13" t="s">
        <v>339</v>
      </c>
      <c r="C3" s="13"/>
      <c r="D3" s="13"/>
      <c r="E3" s="13"/>
      <c r="F3" s="13"/>
      <c r="G3" s="13"/>
      <c r="H3" s="13"/>
      <c r="I3" s="13"/>
      <c r="J3" s="13"/>
      <c r="K3" s="14"/>
    </row>
    <row r="4" spans="1:11">
      <c r="A4" s="18" t="s">
        <v>288</v>
      </c>
      <c r="B4" s="13" t="s">
        <v>557</v>
      </c>
      <c r="C4" s="13"/>
      <c r="D4" s="13"/>
      <c r="E4" s="13"/>
      <c r="F4" s="13"/>
      <c r="G4" s="13"/>
      <c r="H4" s="13"/>
      <c r="I4" s="13"/>
      <c r="J4" s="13"/>
      <c r="K4" s="14"/>
    </row>
    <row r="5" spans="1:11">
      <c r="A5" s="18" t="s">
        <v>298</v>
      </c>
      <c r="B5" s="13" t="s">
        <v>299</v>
      </c>
      <c r="C5" s="13"/>
      <c r="D5" s="13"/>
      <c r="E5" s="13"/>
      <c r="F5" s="13"/>
      <c r="G5" s="13"/>
      <c r="H5" s="13"/>
      <c r="I5" s="13"/>
      <c r="J5" s="13"/>
      <c r="K5" s="14"/>
    </row>
    <row r="6" spans="1:11">
      <c r="A6" s="18" t="s">
        <v>265</v>
      </c>
      <c r="B6" s="13" t="s">
        <v>403</v>
      </c>
      <c r="C6" s="13"/>
      <c r="D6" s="13"/>
      <c r="E6" s="13"/>
      <c r="F6" s="13"/>
      <c r="G6" s="13"/>
      <c r="H6" s="13"/>
      <c r="I6" s="13"/>
      <c r="J6" s="13"/>
      <c r="K6" s="14"/>
    </row>
    <row r="7" spans="1:11">
      <c r="A7" s="18" t="s">
        <v>289</v>
      </c>
      <c r="B7" s="13" t="s">
        <v>426</v>
      </c>
      <c r="C7" s="13"/>
      <c r="D7" s="13"/>
      <c r="E7" s="13"/>
      <c r="F7" s="13"/>
      <c r="G7" s="13"/>
      <c r="H7" s="13"/>
      <c r="I7" s="13"/>
      <c r="J7" s="13"/>
      <c r="K7" s="14"/>
    </row>
    <row r="8" spans="1:11">
      <c r="A8" s="18" t="s">
        <v>22</v>
      </c>
      <c r="B8" s="13" t="s">
        <v>492</v>
      </c>
      <c r="C8" s="13"/>
      <c r="D8" s="13"/>
      <c r="E8" s="13"/>
      <c r="F8" s="13"/>
      <c r="G8" s="13"/>
      <c r="H8" s="13"/>
      <c r="I8" s="13"/>
      <c r="J8" s="13"/>
      <c r="K8" s="14"/>
    </row>
    <row r="9" spans="1:11">
      <c r="A9" s="18" t="s">
        <v>23</v>
      </c>
      <c r="B9" s="13" t="s">
        <v>428</v>
      </c>
      <c r="C9" s="13"/>
      <c r="D9" s="13"/>
      <c r="E9" s="13"/>
      <c r="F9" s="13"/>
      <c r="G9" s="13"/>
      <c r="H9" s="13"/>
      <c r="I9" s="13"/>
      <c r="J9" s="13"/>
      <c r="K9" s="14"/>
    </row>
    <row r="10" spans="1:11">
      <c r="A10" s="18"/>
      <c r="B10" s="13" t="s">
        <v>31</v>
      </c>
      <c r="C10" s="13"/>
      <c r="D10" s="13"/>
      <c r="E10" s="13"/>
      <c r="F10" s="13"/>
      <c r="G10" s="13"/>
      <c r="H10" s="13"/>
      <c r="I10" s="13"/>
      <c r="J10" s="13"/>
      <c r="K10" s="14"/>
    </row>
    <row r="11" spans="1:11">
      <c r="A11" s="18"/>
      <c r="B11" s="13" t="s">
        <v>32</v>
      </c>
      <c r="C11" s="13"/>
      <c r="D11" s="13"/>
      <c r="E11" s="13"/>
      <c r="F11" s="13"/>
      <c r="G11" s="13"/>
      <c r="H11" s="13"/>
      <c r="I11" s="13"/>
      <c r="J11" s="13"/>
      <c r="K11" s="14"/>
    </row>
    <row r="12" spans="1:11">
      <c r="A12" s="18" t="s">
        <v>24</v>
      </c>
      <c r="B12" s="13" t="s">
        <v>294</v>
      </c>
      <c r="C12" s="13"/>
      <c r="D12" s="13"/>
      <c r="E12" s="13"/>
      <c r="F12" s="13"/>
      <c r="G12" s="13"/>
      <c r="H12" s="13"/>
      <c r="I12" s="13"/>
      <c r="J12" s="13"/>
      <c r="K12" s="14"/>
    </row>
    <row r="13" spans="1:11">
      <c r="A13" s="18" t="s">
        <v>526</v>
      </c>
      <c r="B13" s="15" t="s">
        <v>427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1:11">
      <c r="A14" s="18" t="s">
        <v>25</v>
      </c>
      <c r="B14" s="13" t="s">
        <v>290</v>
      </c>
      <c r="C14" s="13"/>
      <c r="D14" s="13"/>
      <c r="E14" s="13"/>
      <c r="F14" s="13"/>
      <c r="G14" s="13"/>
      <c r="H14" s="13"/>
      <c r="I14" s="13"/>
      <c r="J14" s="13"/>
      <c r="K14" s="14"/>
    </row>
    <row r="15" spans="1:11">
      <c r="A15" s="18" t="s">
        <v>20</v>
      </c>
      <c r="B15" s="13" t="s">
        <v>239</v>
      </c>
      <c r="C15" s="13"/>
      <c r="D15" s="13"/>
      <c r="E15" s="13"/>
      <c r="F15" s="13"/>
      <c r="G15" s="13"/>
      <c r="H15" s="13"/>
      <c r="I15" s="13"/>
      <c r="J15" s="13"/>
      <c r="K15" s="14"/>
    </row>
    <row r="16" spans="1:11">
      <c r="A16" s="18" t="s">
        <v>527</v>
      </c>
      <c r="B16" s="13" t="s">
        <v>48</v>
      </c>
      <c r="C16" s="13"/>
      <c r="D16" s="13"/>
      <c r="E16" s="13"/>
      <c r="F16" s="13"/>
      <c r="G16" s="13"/>
      <c r="H16" s="13"/>
      <c r="I16" s="13"/>
      <c r="J16" s="13"/>
      <c r="K16" s="14"/>
    </row>
    <row r="17" spans="1:11">
      <c r="A17" s="18" t="s">
        <v>26</v>
      </c>
      <c r="B17" s="13" t="s">
        <v>84</v>
      </c>
      <c r="C17" s="13"/>
      <c r="D17" s="13"/>
      <c r="E17" s="13"/>
      <c r="F17" s="13"/>
      <c r="G17" s="13"/>
      <c r="H17" s="13"/>
      <c r="I17" s="13"/>
      <c r="J17" s="13"/>
      <c r="K17" s="14"/>
    </row>
    <row r="18" spans="1:11">
      <c r="A18" s="18" t="s">
        <v>528</v>
      </c>
      <c r="B18" s="13" t="s">
        <v>240</v>
      </c>
      <c r="C18" s="13"/>
      <c r="D18" s="13"/>
      <c r="E18" s="13"/>
      <c r="F18" s="13"/>
      <c r="G18" s="13"/>
      <c r="H18" s="13"/>
      <c r="I18" s="13"/>
      <c r="J18" s="13"/>
      <c r="K18" s="14"/>
    </row>
    <row r="19" spans="1:11">
      <c r="A19" s="18" t="s">
        <v>529</v>
      </c>
      <c r="B19" s="15" t="s">
        <v>415</v>
      </c>
      <c r="C19" s="13"/>
      <c r="D19" s="13"/>
      <c r="E19" s="13"/>
      <c r="F19" s="13"/>
      <c r="G19" s="13"/>
      <c r="H19" s="13"/>
      <c r="I19" s="13"/>
      <c r="J19" s="13"/>
      <c r="K19" s="14"/>
    </row>
    <row r="20" spans="1:11">
      <c r="A20" s="18" t="s">
        <v>558</v>
      </c>
      <c r="B20" s="13" t="s">
        <v>30</v>
      </c>
      <c r="C20" s="13"/>
      <c r="D20" s="13"/>
      <c r="E20" s="13"/>
      <c r="F20" s="13"/>
      <c r="G20" s="13"/>
      <c r="H20" s="13"/>
      <c r="I20" s="13"/>
      <c r="J20" s="13"/>
      <c r="K20" s="14"/>
    </row>
    <row r="21" spans="1:11">
      <c r="A21" s="18" t="s">
        <v>530</v>
      </c>
      <c r="B21" s="13" t="s">
        <v>30</v>
      </c>
      <c r="C21" s="13"/>
      <c r="D21" s="13"/>
      <c r="E21" s="13"/>
      <c r="F21" s="13"/>
      <c r="G21" s="13"/>
      <c r="H21" s="13"/>
      <c r="I21" s="13"/>
      <c r="J21" s="13"/>
      <c r="K21" s="14"/>
    </row>
    <row r="22" spans="1:11">
      <c r="A22" s="18" t="s">
        <v>531</v>
      </c>
      <c r="B22" s="15" t="s">
        <v>338</v>
      </c>
      <c r="C22" s="13"/>
      <c r="D22" s="13"/>
      <c r="E22" s="13"/>
      <c r="F22" s="13"/>
      <c r="G22" s="13"/>
      <c r="H22" s="13"/>
      <c r="I22" s="13"/>
      <c r="J22" s="13"/>
      <c r="K22" s="14"/>
    </row>
    <row r="23" spans="1:11">
      <c r="A23" s="18" t="s">
        <v>532</v>
      </c>
      <c r="B23" s="15" t="s">
        <v>337</v>
      </c>
      <c r="C23" s="13"/>
      <c r="D23" s="13"/>
      <c r="E23" s="13"/>
      <c r="F23" s="13"/>
      <c r="G23" s="13"/>
      <c r="H23" s="13"/>
      <c r="I23" s="13"/>
      <c r="J23" s="13"/>
      <c r="K23" s="14"/>
    </row>
    <row r="24" spans="1:11">
      <c r="A24" s="18" t="s">
        <v>533</v>
      </c>
      <c r="B24" s="15" t="s">
        <v>337</v>
      </c>
      <c r="C24" s="13"/>
      <c r="D24" s="13"/>
      <c r="E24" s="13"/>
      <c r="F24" s="13"/>
      <c r="G24" s="13"/>
      <c r="H24" s="13"/>
      <c r="I24" s="13"/>
      <c r="J24" s="13"/>
      <c r="K24" s="14"/>
    </row>
    <row r="25" spans="1:11">
      <c r="A25" s="18" t="s">
        <v>534</v>
      </c>
      <c r="B25" s="13" t="s">
        <v>241</v>
      </c>
      <c r="C25" s="13"/>
      <c r="D25" s="13"/>
      <c r="E25" s="13"/>
      <c r="F25" s="13"/>
      <c r="G25" s="13"/>
      <c r="H25" s="13"/>
      <c r="I25" s="13"/>
      <c r="J25" s="13"/>
      <c r="K25" s="14"/>
    </row>
    <row r="26" spans="1:11">
      <c r="A26" s="18" t="s">
        <v>535</v>
      </c>
      <c r="B26" s="13" t="s">
        <v>242</v>
      </c>
      <c r="C26" s="13"/>
      <c r="D26" s="13"/>
      <c r="E26" s="13"/>
      <c r="F26" s="13"/>
      <c r="G26" s="13"/>
      <c r="H26" s="13"/>
      <c r="I26" s="13"/>
      <c r="J26" s="13"/>
      <c r="K26" s="14"/>
    </row>
    <row r="27" spans="1:11">
      <c r="A27" s="18" t="s">
        <v>536</v>
      </c>
      <c r="B27" s="15" t="s">
        <v>401</v>
      </c>
      <c r="C27" s="13"/>
      <c r="D27" s="13"/>
      <c r="E27" s="13"/>
      <c r="F27" s="13"/>
      <c r="G27" s="13"/>
      <c r="H27" s="13"/>
      <c r="I27" s="13"/>
      <c r="J27" s="13"/>
      <c r="K27" s="14"/>
    </row>
    <row r="28" spans="1:11">
      <c r="A28" s="18" t="s">
        <v>537</v>
      </c>
      <c r="B28" s="13" t="s">
        <v>191</v>
      </c>
      <c r="C28" s="13"/>
      <c r="D28" s="13"/>
      <c r="E28" s="13"/>
      <c r="F28" s="13"/>
      <c r="G28" s="13"/>
      <c r="H28" s="13"/>
      <c r="I28" s="13"/>
      <c r="J28" s="13"/>
      <c r="K28" s="14"/>
    </row>
    <row r="29" spans="1:11">
      <c r="A29" s="18" t="s">
        <v>538</v>
      </c>
      <c r="B29" s="13" t="s">
        <v>49</v>
      </c>
      <c r="C29" s="13"/>
      <c r="D29" s="13"/>
      <c r="E29" s="13"/>
      <c r="F29" s="13"/>
      <c r="G29" s="13"/>
      <c r="H29" s="13"/>
      <c r="I29" s="13"/>
      <c r="J29" s="13"/>
      <c r="K29" s="14"/>
    </row>
    <row r="30" spans="1:11">
      <c r="A30" s="18" t="s">
        <v>539</v>
      </c>
      <c r="B30" s="13" t="s">
        <v>191</v>
      </c>
      <c r="C30" s="13"/>
      <c r="D30" s="13"/>
      <c r="E30" s="13"/>
      <c r="F30" s="13"/>
      <c r="G30" s="13"/>
      <c r="H30" s="13"/>
      <c r="I30" s="13"/>
      <c r="J30" s="13"/>
      <c r="K30" s="14"/>
    </row>
    <row r="31" spans="1:11">
      <c r="A31" s="18" t="s">
        <v>540</v>
      </c>
      <c r="B31" s="13" t="s">
        <v>49</v>
      </c>
      <c r="C31" s="13"/>
      <c r="D31" s="13"/>
      <c r="E31" s="13"/>
      <c r="F31" s="13"/>
      <c r="G31" s="13"/>
      <c r="H31" s="13"/>
      <c r="I31" s="13"/>
      <c r="J31" s="13"/>
      <c r="K31" s="14"/>
    </row>
    <row r="32" spans="1:11">
      <c r="A32" s="18" t="s">
        <v>541</v>
      </c>
      <c r="B32" s="13" t="s">
        <v>191</v>
      </c>
      <c r="C32" s="13"/>
      <c r="D32" s="13"/>
      <c r="E32" s="13"/>
      <c r="F32" s="13"/>
      <c r="G32" s="13"/>
      <c r="H32" s="13"/>
      <c r="I32" s="13"/>
      <c r="J32" s="13"/>
      <c r="K32" s="14"/>
    </row>
    <row r="33" spans="1:11">
      <c r="A33" s="18" t="s">
        <v>542</v>
      </c>
      <c r="B33" s="13" t="s">
        <v>440</v>
      </c>
      <c r="C33" s="13"/>
      <c r="D33" s="13"/>
      <c r="E33" s="13"/>
      <c r="F33" s="13"/>
      <c r="G33" s="13"/>
      <c r="H33" s="13"/>
      <c r="I33" s="13"/>
      <c r="J33" s="13"/>
      <c r="K33" s="14"/>
    </row>
    <row r="34" spans="1:11">
      <c r="A34" s="202" t="s">
        <v>593</v>
      </c>
      <c r="B34" s="158" t="s">
        <v>594</v>
      </c>
      <c r="C34" s="13"/>
      <c r="D34" s="13"/>
      <c r="E34" s="13"/>
      <c r="F34" s="13"/>
      <c r="G34" s="13"/>
      <c r="H34" s="13"/>
      <c r="I34" s="13"/>
      <c r="J34" s="13"/>
      <c r="K34" s="14"/>
    </row>
    <row r="35" spans="1:11" ht="13.5" thickBot="1">
      <c r="A35" s="51" t="s">
        <v>543</v>
      </c>
      <c r="B35" s="20" t="s">
        <v>400</v>
      </c>
      <c r="C35" s="20"/>
      <c r="D35" s="20"/>
      <c r="E35" s="20"/>
      <c r="F35" s="20"/>
      <c r="G35" s="20"/>
      <c r="H35" s="20"/>
      <c r="I35" s="20"/>
      <c r="J35" s="20"/>
      <c r="K35" s="21"/>
    </row>
    <row r="36" spans="1:11" ht="13.5" thickBot="1"/>
    <row r="37" spans="1:11" ht="15.75">
      <c r="A37" s="41" t="s">
        <v>280</v>
      </c>
      <c r="B37" s="10"/>
      <c r="C37" s="10"/>
      <c r="D37" s="10"/>
      <c r="E37" s="10"/>
      <c r="F37" s="10"/>
      <c r="G37" s="10"/>
      <c r="H37" s="10"/>
      <c r="I37" s="11"/>
      <c r="J37" s="13"/>
      <c r="K37" s="13"/>
    </row>
    <row r="38" spans="1:11" ht="15">
      <c r="A38" s="44" t="s">
        <v>595</v>
      </c>
      <c r="B38" s="13"/>
      <c r="C38" s="13"/>
      <c r="D38" s="13"/>
      <c r="E38" s="13"/>
      <c r="F38" s="13"/>
      <c r="G38" s="13"/>
      <c r="H38" s="13"/>
      <c r="I38" s="14"/>
      <c r="J38" s="13"/>
      <c r="K38" s="13"/>
    </row>
    <row r="39" spans="1:11">
      <c r="A39" s="35" t="s">
        <v>585</v>
      </c>
      <c r="B39" s="13"/>
      <c r="C39" s="13"/>
      <c r="D39" s="13"/>
      <c r="E39" s="13"/>
      <c r="F39" s="13"/>
      <c r="G39" s="13"/>
      <c r="H39" s="13"/>
      <c r="I39" s="14"/>
      <c r="J39" s="13"/>
      <c r="K39" s="32"/>
    </row>
    <row r="40" spans="1:11">
      <c r="A40" s="12" t="s">
        <v>414</v>
      </c>
      <c r="B40" s="13"/>
      <c r="C40" s="13"/>
      <c r="D40" s="13"/>
      <c r="E40" s="13"/>
      <c r="F40" s="13"/>
      <c r="G40" s="13"/>
      <c r="H40" s="13"/>
      <c r="I40" s="14"/>
      <c r="J40" s="13"/>
      <c r="K40" s="13"/>
    </row>
    <row r="41" spans="1:11">
      <c r="A41" s="12" t="s">
        <v>546</v>
      </c>
      <c r="B41" s="13"/>
      <c r="C41" s="13"/>
      <c r="D41" s="13"/>
      <c r="E41" s="13"/>
      <c r="F41" s="13"/>
      <c r="G41" s="13"/>
      <c r="H41" s="13"/>
      <c r="I41" s="14"/>
      <c r="J41" s="13"/>
      <c r="K41" s="13"/>
    </row>
    <row r="42" spans="1:11">
      <c r="A42" s="12"/>
      <c r="B42" s="13"/>
      <c r="C42" s="13"/>
      <c r="D42" s="13" t="s">
        <v>51</v>
      </c>
      <c r="E42" s="13" t="s">
        <v>52</v>
      </c>
      <c r="F42" s="13" t="s">
        <v>53</v>
      </c>
      <c r="G42" s="22" t="s">
        <v>194</v>
      </c>
      <c r="H42" s="13"/>
      <c r="I42" s="14"/>
      <c r="J42" s="13"/>
      <c r="K42" s="13"/>
    </row>
    <row r="43" spans="1:11">
      <c r="A43" s="23" t="s">
        <v>67</v>
      </c>
      <c r="B43" s="13"/>
      <c r="C43" s="13"/>
      <c r="D43" s="22" t="s">
        <v>54</v>
      </c>
      <c r="E43" s="22" t="s">
        <v>55</v>
      </c>
      <c r="F43" s="22" t="s">
        <v>441</v>
      </c>
      <c r="G43" s="22" t="s">
        <v>111</v>
      </c>
      <c r="H43" s="22" t="s">
        <v>52</v>
      </c>
      <c r="I43" s="24" t="s">
        <v>53</v>
      </c>
      <c r="J43" s="22"/>
      <c r="K43" s="13"/>
    </row>
    <row r="44" spans="1:11">
      <c r="A44" s="92" t="s">
        <v>56</v>
      </c>
      <c r="B44" s="13"/>
      <c r="C44" s="13" t="s">
        <v>459</v>
      </c>
      <c r="D44" s="97">
        <v>225</v>
      </c>
      <c r="E44" s="97">
        <v>730</v>
      </c>
      <c r="F44" s="97">
        <v>2190</v>
      </c>
      <c r="G44" s="54">
        <f>D44*1.23</f>
        <v>276.75</v>
      </c>
      <c r="H44" s="54">
        <f>E44*1.23</f>
        <v>897.9</v>
      </c>
      <c r="I44" s="53">
        <f>F44*1.23</f>
        <v>2693.7</v>
      </c>
      <c r="J44" s="25"/>
      <c r="K44" s="32"/>
    </row>
    <row r="45" spans="1:11">
      <c r="A45" s="92" t="s">
        <v>275</v>
      </c>
      <c r="B45" s="13"/>
      <c r="C45" s="13" t="s">
        <v>274</v>
      </c>
      <c r="D45" s="97">
        <v>600</v>
      </c>
      <c r="E45" s="97">
        <v>1800</v>
      </c>
      <c r="F45" s="97">
        <v>5400</v>
      </c>
      <c r="G45" s="54">
        <f t="shared" ref="G45:G56" si="0">D45*1.23</f>
        <v>738</v>
      </c>
      <c r="H45" s="54">
        <f t="shared" ref="H45:H56" si="1">E45*1.23</f>
        <v>2214</v>
      </c>
      <c r="I45" s="53">
        <f t="shared" ref="I45:I56" si="2">F45*1.23</f>
        <v>6642</v>
      </c>
      <c r="J45" s="25"/>
      <c r="K45" s="32"/>
    </row>
    <row r="46" spans="1:11">
      <c r="A46" s="92" t="s">
        <v>57</v>
      </c>
      <c r="B46" s="13"/>
      <c r="C46" s="32" t="s">
        <v>549</v>
      </c>
      <c r="D46" s="97">
        <v>195</v>
      </c>
      <c r="E46" s="97">
        <v>690</v>
      </c>
      <c r="F46" s="97">
        <v>1995</v>
      </c>
      <c r="G46" s="54">
        <f t="shared" si="0"/>
        <v>239.85</v>
      </c>
      <c r="H46" s="54">
        <f t="shared" si="1"/>
        <v>848.69999999999993</v>
      </c>
      <c r="I46" s="53">
        <f t="shared" si="2"/>
        <v>2453.85</v>
      </c>
      <c r="J46" s="25"/>
      <c r="K46" s="32"/>
    </row>
    <row r="47" spans="1:11">
      <c r="A47" s="92" t="s">
        <v>58</v>
      </c>
      <c r="B47" s="13"/>
      <c r="C47" s="15" t="s">
        <v>309</v>
      </c>
      <c r="D47" s="97">
        <v>600</v>
      </c>
      <c r="E47" s="97">
        <v>1950</v>
      </c>
      <c r="F47" s="97">
        <v>5850</v>
      </c>
      <c r="G47" s="54">
        <f t="shared" si="0"/>
        <v>738</v>
      </c>
      <c r="H47" s="54">
        <f t="shared" si="1"/>
        <v>2398.5</v>
      </c>
      <c r="I47" s="53">
        <f t="shared" si="2"/>
        <v>7195.5</v>
      </c>
      <c r="J47" s="25"/>
      <c r="K47" s="13"/>
    </row>
    <row r="48" spans="1:11">
      <c r="A48" s="95" t="s">
        <v>509</v>
      </c>
      <c r="B48" s="13"/>
      <c r="C48" s="32" t="s">
        <v>59</v>
      </c>
      <c r="D48" s="97">
        <v>660</v>
      </c>
      <c r="E48" s="97">
        <v>1675</v>
      </c>
      <c r="F48" s="97">
        <v>4284</v>
      </c>
      <c r="G48" s="54">
        <f t="shared" si="0"/>
        <v>811.8</v>
      </c>
      <c r="H48" s="54">
        <f t="shared" si="1"/>
        <v>2060.25</v>
      </c>
      <c r="I48" s="53">
        <f t="shared" si="2"/>
        <v>5269.32</v>
      </c>
      <c r="J48" s="25"/>
      <c r="K48" s="13"/>
    </row>
    <row r="49" spans="1:11">
      <c r="A49" s="92" t="s">
        <v>60</v>
      </c>
      <c r="B49" s="13"/>
      <c r="C49" s="15" t="s">
        <v>308</v>
      </c>
      <c r="D49" s="97">
        <v>1150</v>
      </c>
      <c r="E49" s="97">
        <v>3450</v>
      </c>
      <c r="F49" s="97">
        <v>10350</v>
      </c>
      <c r="G49" s="54">
        <f t="shared" si="0"/>
        <v>1414.5</v>
      </c>
      <c r="H49" s="54">
        <f t="shared" si="1"/>
        <v>4243.5</v>
      </c>
      <c r="I49" s="53">
        <f t="shared" si="2"/>
        <v>12730.5</v>
      </c>
      <c r="J49" s="25"/>
      <c r="K49" s="13"/>
    </row>
    <row r="50" spans="1:11">
      <c r="A50" s="92" t="s">
        <v>61</v>
      </c>
      <c r="B50" s="13"/>
      <c r="C50" s="13" t="s">
        <v>460</v>
      </c>
      <c r="D50" s="97">
        <v>1500</v>
      </c>
      <c r="E50" s="97">
        <v>4500</v>
      </c>
      <c r="F50" s="97">
        <v>13500</v>
      </c>
      <c r="G50" s="54">
        <f t="shared" si="0"/>
        <v>1845</v>
      </c>
      <c r="H50" s="54">
        <f t="shared" si="1"/>
        <v>5535</v>
      </c>
      <c r="I50" s="53">
        <f t="shared" si="2"/>
        <v>16605</v>
      </c>
      <c r="J50" s="25"/>
      <c r="K50" s="13"/>
    </row>
    <row r="51" spans="1:11">
      <c r="A51" s="92" t="s">
        <v>62</v>
      </c>
      <c r="B51" s="13"/>
      <c r="C51" s="158" t="s">
        <v>550</v>
      </c>
      <c r="D51" s="97">
        <v>200</v>
      </c>
      <c r="E51" s="97">
        <v>650</v>
      </c>
      <c r="F51" s="97">
        <v>1950</v>
      </c>
      <c r="G51" s="54">
        <f t="shared" si="0"/>
        <v>246</v>
      </c>
      <c r="H51" s="54">
        <f t="shared" si="1"/>
        <v>799.5</v>
      </c>
      <c r="I51" s="53">
        <f t="shared" si="2"/>
        <v>2398.5</v>
      </c>
      <c r="J51" s="25"/>
      <c r="K51" s="13"/>
    </row>
    <row r="52" spans="1:11">
      <c r="A52" s="92" t="s">
        <v>279</v>
      </c>
      <c r="B52" s="13"/>
      <c r="C52" s="32" t="s">
        <v>554</v>
      </c>
      <c r="D52" s="97">
        <v>194</v>
      </c>
      <c r="E52" s="97">
        <v>757</v>
      </c>
      <c r="F52" s="97">
        <v>2257</v>
      </c>
      <c r="G52" s="54">
        <f t="shared" si="0"/>
        <v>238.62</v>
      </c>
      <c r="H52" s="54">
        <f t="shared" si="1"/>
        <v>931.11</v>
      </c>
      <c r="I52" s="53">
        <f t="shared" si="2"/>
        <v>2776.11</v>
      </c>
      <c r="J52" s="25"/>
      <c r="K52" s="13"/>
    </row>
    <row r="53" spans="1:11">
      <c r="A53" s="92" t="s">
        <v>63</v>
      </c>
      <c r="B53" s="13"/>
      <c r="C53" s="32" t="s">
        <v>551</v>
      </c>
      <c r="D53" s="97">
        <v>600</v>
      </c>
      <c r="E53" s="97">
        <v>1750</v>
      </c>
      <c r="F53" s="97">
        <v>5000</v>
      </c>
      <c r="G53" s="54">
        <f t="shared" si="0"/>
        <v>738</v>
      </c>
      <c r="H53" s="54">
        <f t="shared" si="1"/>
        <v>2152.5</v>
      </c>
      <c r="I53" s="53">
        <f t="shared" si="2"/>
        <v>6150</v>
      </c>
      <c r="J53" s="25"/>
      <c r="K53" s="13"/>
    </row>
    <row r="54" spans="1:11">
      <c r="A54" s="92" t="s">
        <v>461</v>
      </c>
      <c r="B54" s="13"/>
      <c r="C54" s="32" t="s">
        <v>552</v>
      </c>
      <c r="D54" s="97">
        <v>192</v>
      </c>
      <c r="E54" s="97">
        <v>576</v>
      </c>
      <c r="F54" s="97">
        <v>1728</v>
      </c>
      <c r="G54" s="54">
        <f t="shared" si="0"/>
        <v>236.16</v>
      </c>
      <c r="H54" s="54">
        <f t="shared" si="1"/>
        <v>708.48</v>
      </c>
      <c r="I54" s="53">
        <f>F54*1.23</f>
        <v>2125.44</v>
      </c>
      <c r="J54" s="25"/>
      <c r="K54" s="13"/>
    </row>
    <row r="55" spans="1:11">
      <c r="A55" s="95" t="s">
        <v>123</v>
      </c>
      <c r="B55" s="13"/>
      <c r="C55" s="198" t="s">
        <v>584</v>
      </c>
      <c r="D55" s="97">
        <v>445</v>
      </c>
      <c r="E55" s="97">
        <v>1335</v>
      </c>
      <c r="F55" s="97">
        <v>3945</v>
      </c>
      <c r="G55" s="54">
        <f t="shared" si="0"/>
        <v>547.35</v>
      </c>
      <c r="H55" s="54">
        <f t="shared" si="1"/>
        <v>1642.05</v>
      </c>
      <c r="I55" s="53">
        <f t="shared" si="2"/>
        <v>4852.3500000000004</v>
      </c>
      <c r="J55" s="25"/>
      <c r="K55" s="13"/>
    </row>
    <row r="56" spans="1:11" ht="13.5" thickBot="1">
      <c r="A56" s="156" t="s">
        <v>508</v>
      </c>
      <c r="B56" s="20"/>
      <c r="C56" s="157" t="s">
        <v>553</v>
      </c>
      <c r="D56" s="94">
        <v>192</v>
      </c>
      <c r="E56" s="94">
        <v>576</v>
      </c>
      <c r="F56" s="94">
        <v>1728</v>
      </c>
      <c r="G56" s="55">
        <f t="shared" si="0"/>
        <v>236.16</v>
      </c>
      <c r="H56" s="55">
        <f t="shared" si="1"/>
        <v>708.48</v>
      </c>
      <c r="I56" s="56">
        <f t="shared" si="2"/>
        <v>2125.44</v>
      </c>
      <c r="J56" s="25"/>
      <c r="K56" s="13"/>
    </row>
    <row r="57" spans="1:11" ht="13.5" thickBot="1"/>
    <row r="58" spans="1:11" ht="15.75">
      <c r="A58" s="41" t="s">
        <v>112</v>
      </c>
      <c r="B58" s="10"/>
      <c r="C58" s="10"/>
      <c r="D58" s="10"/>
      <c r="E58" s="10"/>
      <c r="F58" s="10"/>
      <c r="G58" s="10"/>
      <c r="H58" s="10"/>
      <c r="I58" s="11"/>
    </row>
    <row r="59" spans="1:11">
      <c r="A59" s="23" t="s">
        <v>193</v>
      </c>
      <c r="B59" s="13"/>
      <c r="C59" s="22" t="s">
        <v>192</v>
      </c>
      <c r="D59" s="172" t="s">
        <v>113</v>
      </c>
      <c r="E59" s="22" t="s">
        <v>114</v>
      </c>
      <c r="F59" s="22" t="s">
        <v>115</v>
      </c>
      <c r="G59" s="22" t="s">
        <v>116</v>
      </c>
      <c r="H59" s="22" t="s">
        <v>548</v>
      </c>
      <c r="I59" s="24" t="s">
        <v>120</v>
      </c>
      <c r="J59" s="1"/>
      <c r="K59" s="175"/>
    </row>
    <row r="60" spans="1:11">
      <c r="A60" s="12" t="s">
        <v>56</v>
      </c>
      <c r="B60" s="13"/>
      <c r="C60" s="13" t="s">
        <v>459</v>
      </c>
      <c r="D60" s="173">
        <v>1.2</v>
      </c>
      <c r="E60" s="326">
        <v>3.35</v>
      </c>
      <c r="F60" s="117">
        <f t="shared" ref="F60:F69" si="3">D60*E60</f>
        <v>4.0199999999999996</v>
      </c>
      <c r="G60" s="117">
        <f t="shared" ref="G60:G69" si="4">F60*0.1</f>
        <v>0.40199999999999997</v>
      </c>
      <c r="H60" s="118">
        <f>F60*0.165</f>
        <v>0.6633</v>
      </c>
      <c r="I60" s="53">
        <f t="shared" ref="I60:I69" si="5">F60+G60+H60</f>
        <v>5.0853000000000002</v>
      </c>
      <c r="J60" s="5"/>
    </row>
    <row r="61" spans="1:11">
      <c r="A61" s="12" t="s">
        <v>272</v>
      </c>
      <c r="B61" s="13"/>
      <c r="C61" s="13" t="s">
        <v>273</v>
      </c>
      <c r="D61" s="174">
        <v>3.5</v>
      </c>
      <c r="E61" s="151">
        <f t="shared" ref="E61:E71" si="6">E$60</f>
        <v>3.35</v>
      </c>
      <c r="F61" s="120">
        <f>D61*E61</f>
        <v>11.725</v>
      </c>
      <c r="G61" s="120">
        <f t="shared" si="4"/>
        <v>1.1725000000000001</v>
      </c>
      <c r="H61" s="121">
        <f t="shared" ref="H61:H72" si="7">F61*0.165</f>
        <v>1.934625</v>
      </c>
      <c r="I61" s="53">
        <f>F61+G61+H61</f>
        <v>14.832125</v>
      </c>
      <c r="J61" s="5"/>
    </row>
    <row r="62" spans="1:11">
      <c r="A62" s="12" t="s">
        <v>57</v>
      </c>
      <c r="B62" s="13"/>
      <c r="C62" s="13" t="s">
        <v>549</v>
      </c>
      <c r="D62" s="174">
        <v>2.7</v>
      </c>
      <c r="E62" s="151">
        <f t="shared" si="6"/>
        <v>3.35</v>
      </c>
      <c r="F62" s="120">
        <f t="shared" si="3"/>
        <v>9.0450000000000017</v>
      </c>
      <c r="G62" s="120">
        <f t="shared" si="4"/>
        <v>0.90450000000000019</v>
      </c>
      <c r="H62" s="121">
        <f t="shared" si="7"/>
        <v>1.4924250000000003</v>
      </c>
      <c r="I62" s="53">
        <f t="shared" si="5"/>
        <v>11.441925000000003</v>
      </c>
      <c r="J62" s="5"/>
    </row>
    <row r="63" spans="1:11">
      <c r="A63" s="12" t="s">
        <v>58</v>
      </c>
      <c r="B63" s="13"/>
      <c r="C63" s="15" t="s">
        <v>310</v>
      </c>
      <c r="D63" s="174">
        <v>4</v>
      </c>
      <c r="E63" s="151">
        <f t="shared" si="6"/>
        <v>3.35</v>
      </c>
      <c r="F63" s="120">
        <f>D63*E63</f>
        <v>13.4</v>
      </c>
      <c r="G63" s="120">
        <f t="shared" si="4"/>
        <v>1.34</v>
      </c>
      <c r="H63" s="121">
        <f t="shared" si="7"/>
        <v>2.2110000000000003</v>
      </c>
      <c r="I63" s="53">
        <f>F63+G63+H63</f>
        <v>16.951000000000001</v>
      </c>
      <c r="J63" s="5"/>
    </row>
    <row r="64" spans="1:11">
      <c r="A64" s="35" t="s">
        <v>509</v>
      </c>
      <c r="B64" s="13"/>
      <c r="C64" s="13" t="s">
        <v>59</v>
      </c>
      <c r="D64" s="174">
        <v>4</v>
      </c>
      <c r="E64" s="151">
        <f t="shared" si="6"/>
        <v>3.35</v>
      </c>
      <c r="F64" s="120">
        <f t="shared" si="3"/>
        <v>13.4</v>
      </c>
      <c r="G64" s="120">
        <f t="shared" si="4"/>
        <v>1.34</v>
      </c>
      <c r="H64" s="121">
        <f t="shared" si="7"/>
        <v>2.2110000000000003</v>
      </c>
      <c r="I64" s="53">
        <f t="shared" si="5"/>
        <v>16.951000000000001</v>
      </c>
      <c r="J64" s="5"/>
    </row>
    <row r="65" spans="1:11">
      <c r="A65" s="12" t="s">
        <v>60</v>
      </c>
      <c r="B65" s="13"/>
      <c r="C65" s="15" t="s">
        <v>308</v>
      </c>
      <c r="D65" s="174">
        <v>5.5</v>
      </c>
      <c r="E65" s="151">
        <f t="shared" si="6"/>
        <v>3.35</v>
      </c>
      <c r="F65" s="120">
        <f>D65*E65</f>
        <v>18.425000000000001</v>
      </c>
      <c r="G65" s="120">
        <f t="shared" si="4"/>
        <v>1.8425000000000002</v>
      </c>
      <c r="H65" s="121">
        <f t="shared" si="7"/>
        <v>3.0401250000000002</v>
      </c>
      <c r="I65" s="53">
        <f>F65+G65+H65</f>
        <v>23.307625000000002</v>
      </c>
      <c r="J65" s="5"/>
    </row>
    <row r="66" spans="1:11">
      <c r="A66" s="12" t="s">
        <v>61</v>
      </c>
      <c r="B66" s="13"/>
      <c r="C66" s="13" t="s">
        <v>460</v>
      </c>
      <c r="D66" s="174">
        <v>10.5</v>
      </c>
      <c r="E66" s="151">
        <f t="shared" si="6"/>
        <v>3.35</v>
      </c>
      <c r="F66" s="120">
        <f t="shared" si="3"/>
        <v>35.175000000000004</v>
      </c>
      <c r="G66" s="120">
        <f t="shared" si="4"/>
        <v>3.5175000000000005</v>
      </c>
      <c r="H66" s="121">
        <f t="shared" si="7"/>
        <v>5.8038750000000006</v>
      </c>
      <c r="I66" s="53">
        <f t="shared" si="5"/>
        <v>44.496375</v>
      </c>
      <c r="J66" s="5"/>
    </row>
    <row r="67" spans="1:11">
      <c r="A67" s="12" t="s">
        <v>62</v>
      </c>
      <c r="B67" s="13"/>
      <c r="C67" s="13" t="s">
        <v>567</v>
      </c>
      <c r="D67" s="174">
        <v>1</v>
      </c>
      <c r="E67" s="151">
        <f t="shared" si="6"/>
        <v>3.35</v>
      </c>
      <c r="F67" s="120">
        <f t="shared" si="3"/>
        <v>3.35</v>
      </c>
      <c r="G67" s="120">
        <f t="shared" si="4"/>
        <v>0.33500000000000002</v>
      </c>
      <c r="H67" s="121">
        <f t="shared" si="7"/>
        <v>0.55275000000000007</v>
      </c>
      <c r="I67" s="53">
        <f t="shared" si="5"/>
        <v>4.2377500000000001</v>
      </c>
      <c r="J67" s="5"/>
    </row>
    <row r="68" spans="1:11">
      <c r="A68" s="12" t="s">
        <v>279</v>
      </c>
      <c r="B68" s="13"/>
      <c r="C68" s="13" t="s">
        <v>413</v>
      </c>
      <c r="D68" s="174">
        <v>1.25</v>
      </c>
      <c r="E68" s="151">
        <f t="shared" si="6"/>
        <v>3.35</v>
      </c>
      <c r="F68" s="120">
        <f>D68*E68</f>
        <v>4.1875</v>
      </c>
      <c r="G68" s="120">
        <f t="shared" si="4"/>
        <v>0.41875000000000001</v>
      </c>
      <c r="H68" s="121">
        <f t="shared" si="7"/>
        <v>0.69093749999999998</v>
      </c>
      <c r="I68" s="53">
        <f>F68+G68+H68</f>
        <v>5.2971874999999997</v>
      </c>
      <c r="J68" s="5"/>
    </row>
    <row r="69" spans="1:11">
      <c r="A69" s="12" t="s">
        <v>63</v>
      </c>
      <c r="B69" s="13"/>
      <c r="C69" s="15" t="s">
        <v>551</v>
      </c>
      <c r="D69" s="174">
        <v>6</v>
      </c>
      <c r="E69" s="151">
        <f t="shared" si="6"/>
        <v>3.35</v>
      </c>
      <c r="F69" s="120">
        <f t="shared" si="3"/>
        <v>20.100000000000001</v>
      </c>
      <c r="G69" s="120">
        <f t="shared" si="4"/>
        <v>2.0100000000000002</v>
      </c>
      <c r="H69" s="121">
        <f t="shared" si="7"/>
        <v>3.3165000000000004</v>
      </c>
      <c r="I69" s="53">
        <f t="shared" si="5"/>
        <v>25.426500000000004</v>
      </c>
      <c r="J69" s="5"/>
    </row>
    <row r="70" spans="1:11">
      <c r="A70" s="12" t="s">
        <v>461</v>
      </c>
      <c r="B70" s="13"/>
      <c r="C70" s="13" t="s">
        <v>462</v>
      </c>
      <c r="D70" s="174">
        <v>0.7</v>
      </c>
      <c r="E70" s="151">
        <f t="shared" si="6"/>
        <v>3.35</v>
      </c>
      <c r="F70" s="120">
        <f>D70*E70</f>
        <v>2.3449999999999998</v>
      </c>
      <c r="G70" s="120">
        <f>F70*0.1</f>
        <v>0.23449999999999999</v>
      </c>
      <c r="H70" s="121">
        <f t="shared" si="7"/>
        <v>0.38692499999999996</v>
      </c>
      <c r="I70" s="53">
        <f>F70+G70+H70</f>
        <v>2.9664250000000001</v>
      </c>
      <c r="J70" s="5"/>
    </row>
    <row r="71" spans="1:11">
      <c r="A71" s="12" t="s">
        <v>586</v>
      </c>
      <c r="B71" s="13"/>
      <c r="C71" s="13" t="s">
        <v>412</v>
      </c>
      <c r="D71" s="174">
        <v>2</v>
      </c>
      <c r="E71" s="151">
        <f t="shared" si="6"/>
        <v>3.35</v>
      </c>
      <c r="F71" s="120">
        <f>D71*E71</f>
        <v>6.7</v>
      </c>
      <c r="G71" s="120">
        <f>F71*0.1</f>
        <v>0.67</v>
      </c>
      <c r="H71" s="121">
        <f t="shared" si="7"/>
        <v>1.1055000000000001</v>
      </c>
      <c r="I71" s="53">
        <f>F71+G71+H71</f>
        <v>8.4755000000000003</v>
      </c>
      <c r="J71" s="5"/>
    </row>
    <row r="72" spans="1:11">
      <c r="A72" s="12" t="s">
        <v>498</v>
      </c>
      <c r="B72" s="13"/>
      <c r="C72" s="158" t="s">
        <v>553</v>
      </c>
      <c r="D72" s="174">
        <v>0.5</v>
      </c>
      <c r="E72" s="151">
        <f>E$63</f>
        <v>3.35</v>
      </c>
      <c r="F72" s="120">
        <f>D72*E72</f>
        <v>1.675</v>
      </c>
      <c r="G72" s="120">
        <f>F72*0.1</f>
        <v>0.16750000000000001</v>
      </c>
      <c r="H72" s="121">
        <f t="shared" si="7"/>
        <v>0.27637500000000004</v>
      </c>
      <c r="I72" s="53">
        <f>F72+G72+H72</f>
        <v>2.1188750000000001</v>
      </c>
      <c r="J72" s="5"/>
    </row>
    <row r="73" spans="1:11">
      <c r="A73" s="12"/>
      <c r="B73" s="13"/>
      <c r="C73" s="13"/>
      <c r="D73" s="119"/>
      <c r="E73" s="151"/>
      <c r="F73" s="120"/>
      <c r="G73" s="120"/>
      <c r="H73" s="121"/>
      <c r="I73" s="53"/>
    </row>
    <row r="74" spans="1:11">
      <c r="A74" s="12" t="s">
        <v>117</v>
      </c>
      <c r="B74" s="13"/>
      <c r="C74" s="13"/>
      <c r="D74" s="122"/>
      <c r="E74" s="123"/>
      <c r="F74" s="123"/>
      <c r="G74" s="123"/>
      <c r="H74" s="124"/>
      <c r="I74" s="14"/>
      <c r="K74" s="43"/>
    </row>
    <row r="75" spans="1:11">
      <c r="A75" s="18" t="s">
        <v>118</v>
      </c>
      <c r="B75" s="13"/>
      <c r="C75" s="13"/>
      <c r="D75" s="13"/>
      <c r="E75" s="13"/>
      <c r="F75" s="13"/>
      <c r="G75" s="13"/>
      <c r="H75" s="13"/>
      <c r="I75" s="14"/>
    </row>
    <row r="76" spans="1:11">
      <c r="A76" s="18" t="s">
        <v>277</v>
      </c>
      <c r="B76" s="13"/>
      <c r="C76" s="13"/>
      <c r="D76" s="13"/>
      <c r="E76" s="13"/>
      <c r="F76" s="13"/>
      <c r="G76" s="13"/>
      <c r="H76" s="13"/>
      <c r="I76" s="14"/>
    </row>
    <row r="77" spans="1:11">
      <c r="A77" s="18" t="s">
        <v>119</v>
      </c>
      <c r="B77" s="13"/>
      <c r="C77" s="13"/>
      <c r="D77" s="13"/>
      <c r="E77" s="13"/>
      <c r="F77" s="13"/>
      <c r="G77" s="13"/>
      <c r="H77" s="13"/>
      <c r="I77" s="14"/>
    </row>
    <row r="78" spans="1:11" ht="13.5" thickBot="1">
      <c r="A78" s="19" t="s">
        <v>547</v>
      </c>
      <c r="B78" s="20"/>
      <c r="C78" s="20"/>
      <c r="D78" s="20"/>
      <c r="E78" s="20"/>
      <c r="F78" s="20"/>
      <c r="G78" s="20"/>
      <c r="H78" s="20"/>
      <c r="I78" s="21"/>
    </row>
    <row r="79" spans="1:11" ht="13.5" thickBot="1"/>
    <row r="80" spans="1:11" ht="15.75">
      <c r="A80" s="41" t="s">
        <v>545</v>
      </c>
      <c r="B80" s="10"/>
      <c r="C80" s="10"/>
      <c r="D80" s="10"/>
      <c r="E80" s="10"/>
      <c r="F80" s="10"/>
      <c r="G80" s="11"/>
    </row>
    <row r="81" spans="1:7">
      <c r="A81" s="12"/>
      <c r="B81" s="22"/>
      <c r="C81" s="22" t="s">
        <v>64</v>
      </c>
      <c r="D81" s="22" t="s">
        <v>442</v>
      </c>
      <c r="E81" s="22" t="s">
        <v>65</v>
      </c>
      <c r="F81" s="13"/>
      <c r="G81" s="14"/>
    </row>
    <row r="82" spans="1:7">
      <c r="A82" s="12" t="s">
        <v>66</v>
      </c>
      <c r="B82" s="13"/>
      <c r="C82" s="13"/>
      <c r="D82" s="13"/>
      <c r="E82" s="13"/>
      <c r="F82" s="13"/>
      <c r="G82" s="14"/>
    </row>
    <row r="83" spans="1:7">
      <c r="A83" s="12" t="s">
        <v>464</v>
      </c>
      <c r="B83" s="13"/>
      <c r="C83" s="142">
        <v>16.82</v>
      </c>
      <c r="D83" s="143">
        <v>2.52</v>
      </c>
      <c r="E83" s="144">
        <f t="shared" ref="E83:E91" si="8">C83+D83</f>
        <v>19.34</v>
      </c>
      <c r="F83" s="145"/>
      <c r="G83" s="14"/>
    </row>
    <row r="84" spans="1:7">
      <c r="A84" s="12" t="s">
        <v>465</v>
      </c>
      <c r="B84" s="13"/>
      <c r="C84" s="146">
        <v>14.45</v>
      </c>
      <c r="D84" s="147">
        <v>2.4500000000000002</v>
      </c>
      <c r="E84" s="148">
        <f t="shared" si="8"/>
        <v>16.899999999999999</v>
      </c>
      <c r="F84" s="149"/>
      <c r="G84" s="14"/>
    </row>
    <row r="85" spans="1:7">
      <c r="A85" s="18" t="s">
        <v>276</v>
      </c>
      <c r="B85" s="13"/>
      <c r="C85" s="150">
        <v>16.670000000000002</v>
      </c>
      <c r="D85" s="151">
        <v>2.14</v>
      </c>
      <c r="E85" s="148">
        <f t="shared" si="8"/>
        <v>18.810000000000002</v>
      </c>
      <c r="F85" s="149"/>
      <c r="G85" s="14"/>
    </row>
    <row r="86" spans="1:7">
      <c r="A86" s="18" t="s">
        <v>463</v>
      </c>
      <c r="B86" s="13"/>
      <c r="C86" s="150">
        <v>16.670000000000002</v>
      </c>
      <c r="D86" s="151">
        <v>2.14</v>
      </c>
      <c r="E86" s="148">
        <f t="shared" si="8"/>
        <v>18.810000000000002</v>
      </c>
      <c r="F86" s="149"/>
      <c r="G86" s="14"/>
    </row>
    <row r="87" spans="1:7">
      <c r="A87" s="18" t="s">
        <v>272</v>
      </c>
      <c r="B87" s="13"/>
      <c r="C87" s="150">
        <v>18</v>
      </c>
      <c r="D87" s="151">
        <v>0</v>
      </c>
      <c r="E87" s="148">
        <f t="shared" si="8"/>
        <v>18</v>
      </c>
      <c r="F87" s="149"/>
      <c r="G87" s="14"/>
    </row>
    <row r="88" spans="1:7">
      <c r="A88" s="18" t="s">
        <v>63</v>
      </c>
      <c r="B88" s="13"/>
      <c r="C88" s="150">
        <v>11.91</v>
      </c>
      <c r="D88" s="151">
        <v>1.32</v>
      </c>
      <c r="E88" s="148">
        <f t="shared" si="8"/>
        <v>13.23</v>
      </c>
      <c r="F88" s="149"/>
      <c r="G88" s="14"/>
    </row>
    <row r="89" spans="1:7">
      <c r="A89" s="91" t="s">
        <v>123</v>
      </c>
      <c r="B89" s="13"/>
      <c r="C89" s="150">
        <v>20.76</v>
      </c>
      <c r="D89" s="151">
        <v>4.42</v>
      </c>
      <c r="E89" s="148">
        <f t="shared" si="8"/>
        <v>25.18</v>
      </c>
      <c r="F89" s="149"/>
      <c r="G89" s="14"/>
    </row>
    <row r="90" spans="1:7">
      <c r="A90" s="17" t="s">
        <v>125</v>
      </c>
      <c r="B90" s="13"/>
      <c r="C90" s="150">
        <v>26.52</v>
      </c>
      <c r="D90" s="151">
        <v>19.350000000000001</v>
      </c>
      <c r="E90" s="148">
        <f t="shared" si="8"/>
        <v>45.870000000000005</v>
      </c>
      <c r="F90" s="149"/>
      <c r="G90" s="14"/>
    </row>
    <row r="91" spans="1:7" ht="13.5" thickBot="1">
      <c r="A91" s="26" t="s">
        <v>124</v>
      </c>
      <c r="B91" s="20"/>
      <c r="C91" s="152">
        <v>10.32</v>
      </c>
      <c r="D91" s="153">
        <v>0</v>
      </c>
      <c r="E91" s="154">
        <f t="shared" si="8"/>
        <v>10.32</v>
      </c>
      <c r="F91" s="155"/>
      <c r="G91" s="21"/>
    </row>
    <row r="92" spans="1:7" ht="13.5" thickBot="1"/>
    <row r="93" spans="1:7" ht="15.75">
      <c r="A93" s="41" t="s">
        <v>201</v>
      </c>
      <c r="B93" s="10"/>
      <c r="C93" s="11"/>
    </row>
    <row r="94" spans="1:7" ht="15.75">
      <c r="A94" s="42"/>
      <c r="B94" s="22" t="s">
        <v>206</v>
      </c>
      <c r="C94" s="24" t="s">
        <v>207</v>
      </c>
    </row>
    <row r="95" spans="1:7">
      <c r="A95" s="35" t="s">
        <v>506</v>
      </c>
      <c r="B95" s="126">
        <v>3</v>
      </c>
      <c r="C95" s="137" t="s">
        <v>344</v>
      </c>
    </row>
    <row r="96" spans="1:7">
      <c r="A96" s="12" t="s">
        <v>469</v>
      </c>
      <c r="B96" s="97">
        <v>4</v>
      </c>
      <c r="C96" s="14" t="s">
        <v>208</v>
      </c>
    </row>
    <row r="97" spans="1:4">
      <c r="A97" s="18" t="s">
        <v>468</v>
      </c>
      <c r="B97" s="97">
        <v>0.15</v>
      </c>
      <c r="C97" s="14" t="s">
        <v>213</v>
      </c>
    </row>
    <row r="98" spans="1:4">
      <c r="A98" s="18" t="s">
        <v>295</v>
      </c>
      <c r="B98" s="97">
        <v>110</v>
      </c>
      <c r="C98" s="14" t="s">
        <v>296</v>
      </c>
    </row>
    <row r="99" spans="1:4">
      <c r="A99" s="12" t="s">
        <v>202</v>
      </c>
      <c r="B99" s="97">
        <v>32.5</v>
      </c>
      <c r="C99" s="14" t="s">
        <v>209</v>
      </c>
      <c r="D99" s="98"/>
    </row>
    <row r="100" spans="1:4">
      <c r="A100" s="18" t="s">
        <v>203</v>
      </c>
      <c r="B100" s="97">
        <v>21</v>
      </c>
      <c r="C100" s="14" t="s">
        <v>210</v>
      </c>
    </row>
    <row r="101" spans="1:4">
      <c r="A101" s="18" t="s">
        <v>204</v>
      </c>
      <c r="B101" s="97">
        <v>1.25</v>
      </c>
      <c r="C101" s="14" t="s">
        <v>210</v>
      </c>
    </row>
    <row r="102" spans="1:4">
      <c r="A102" s="61" t="s">
        <v>456</v>
      </c>
      <c r="B102" s="97">
        <v>2500</v>
      </c>
      <c r="C102" s="14" t="s">
        <v>147</v>
      </c>
    </row>
    <row r="103" spans="1:4">
      <c r="A103" s="18" t="s">
        <v>576</v>
      </c>
      <c r="B103" s="97">
        <v>20</v>
      </c>
      <c r="C103" s="14" t="s">
        <v>577</v>
      </c>
    </row>
    <row r="104" spans="1:4">
      <c r="A104" s="61" t="s">
        <v>578</v>
      </c>
      <c r="B104" s="97">
        <v>2000</v>
      </c>
      <c r="C104" s="14" t="s">
        <v>147</v>
      </c>
    </row>
    <row r="105" spans="1:4">
      <c r="A105" s="18" t="s">
        <v>579</v>
      </c>
      <c r="B105" s="97">
        <v>2</v>
      </c>
      <c r="C105" s="14" t="s">
        <v>577</v>
      </c>
    </row>
    <row r="106" spans="1:4">
      <c r="A106" s="176" t="s">
        <v>556</v>
      </c>
      <c r="B106" s="97">
        <v>90</v>
      </c>
      <c r="C106" s="14" t="s">
        <v>211</v>
      </c>
    </row>
    <row r="107" spans="1:4">
      <c r="A107" s="35" t="s">
        <v>40</v>
      </c>
      <c r="B107" s="97">
        <v>550</v>
      </c>
      <c r="C107" s="14" t="s">
        <v>211</v>
      </c>
    </row>
    <row r="108" spans="1:4">
      <c r="A108" s="12" t="s">
        <v>214</v>
      </c>
      <c r="B108" s="97">
        <v>260</v>
      </c>
      <c r="C108" s="14" t="s">
        <v>215</v>
      </c>
    </row>
    <row r="109" spans="1:4">
      <c r="A109" s="12" t="s">
        <v>216</v>
      </c>
      <c r="B109" s="97">
        <v>100</v>
      </c>
      <c r="C109" s="14" t="s">
        <v>218</v>
      </c>
    </row>
    <row r="110" spans="1:4">
      <c r="A110" s="12" t="s">
        <v>217</v>
      </c>
      <c r="B110" s="97">
        <v>1000</v>
      </c>
      <c r="C110" s="14" t="s">
        <v>218</v>
      </c>
    </row>
    <row r="111" spans="1:4">
      <c r="A111" s="12" t="s">
        <v>205</v>
      </c>
      <c r="B111" s="97">
        <v>1000</v>
      </c>
      <c r="C111" s="14" t="s">
        <v>147</v>
      </c>
    </row>
    <row r="112" spans="1:4">
      <c r="A112" s="12" t="s">
        <v>346</v>
      </c>
      <c r="B112" s="97">
        <v>0</v>
      </c>
      <c r="C112" s="14" t="s">
        <v>580</v>
      </c>
    </row>
    <row r="113" spans="1:10" ht="13.5" thickBot="1">
      <c r="A113" s="85" t="s">
        <v>447</v>
      </c>
      <c r="B113" s="94">
        <v>190</v>
      </c>
      <c r="C113" s="21" t="s">
        <v>212</v>
      </c>
    </row>
    <row r="115" spans="1:10" ht="13.5" thickBot="1"/>
    <row r="116" spans="1:10" ht="15.75">
      <c r="A116" s="41" t="s">
        <v>219</v>
      </c>
      <c r="B116" s="10"/>
      <c r="C116" s="10"/>
      <c r="D116" s="10"/>
      <c r="E116" s="10"/>
      <c r="F116" s="10"/>
      <c r="G116" s="10"/>
      <c r="H116" s="33"/>
      <c r="I116" s="34"/>
      <c r="J116" s="1"/>
    </row>
    <row r="117" spans="1:10" ht="15">
      <c r="A117" s="44" t="s">
        <v>220</v>
      </c>
      <c r="B117" s="32" t="s">
        <v>228</v>
      </c>
      <c r="C117" s="22" t="s">
        <v>226</v>
      </c>
      <c r="D117" s="22" t="s">
        <v>221</v>
      </c>
      <c r="E117" s="22"/>
      <c r="F117" s="22" t="s">
        <v>222</v>
      </c>
      <c r="G117" s="22"/>
      <c r="H117" s="22" t="s">
        <v>223</v>
      </c>
      <c r="I117" s="24" t="s">
        <v>221</v>
      </c>
      <c r="J117" s="1"/>
    </row>
    <row r="118" spans="1:10">
      <c r="A118" s="47" t="s">
        <v>13</v>
      </c>
      <c r="B118" s="22" t="s">
        <v>229</v>
      </c>
      <c r="C118" s="13"/>
      <c r="D118" s="13"/>
      <c r="E118" s="13"/>
      <c r="F118" s="13" t="s">
        <v>189</v>
      </c>
      <c r="G118" s="28"/>
      <c r="H118" s="28"/>
      <c r="I118" s="36"/>
      <c r="J118" s="6"/>
    </row>
    <row r="119" spans="1:10">
      <c r="A119" s="18" t="s">
        <v>354</v>
      </c>
      <c r="B119" s="25">
        <f>Input!D12*Input!F12/43560</f>
        <v>0</v>
      </c>
      <c r="C119" s="37">
        <v>2000</v>
      </c>
      <c r="D119" s="13" t="s">
        <v>340</v>
      </c>
      <c r="E119" s="13" t="s">
        <v>162</v>
      </c>
      <c r="F119" s="29">
        <f>Input!$D12</f>
        <v>0</v>
      </c>
      <c r="G119" s="29"/>
      <c r="H119" s="69">
        <f>F119/$C$119</f>
        <v>0</v>
      </c>
      <c r="I119" s="30" t="s">
        <v>134</v>
      </c>
      <c r="J119" s="8"/>
    </row>
    <row r="120" spans="1:10">
      <c r="A120" s="12"/>
      <c r="B120" s="25">
        <f>Input!D13*Input!F13/43560</f>
        <v>0</v>
      </c>
      <c r="C120" s="13"/>
      <c r="D120" s="13"/>
      <c r="E120" s="13" t="s">
        <v>163</v>
      </c>
      <c r="F120" s="29">
        <f>Input!$D$13</f>
        <v>0</v>
      </c>
      <c r="G120" s="29"/>
      <c r="H120" s="69">
        <f>F120/$C$119</f>
        <v>0</v>
      </c>
      <c r="I120" s="30" t="s">
        <v>134</v>
      </c>
      <c r="J120" s="8"/>
    </row>
    <row r="121" spans="1:10">
      <c r="A121" s="12"/>
      <c r="B121" s="25">
        <f>Input!D14*Input!F14/43560</f>
        <v>0</v>
      </c>
      <c r="C121" s="13"/>
      <c r="D121" s="13"/>
      <c r="E121" s="13" t="s">
        <v>164</v>
      </c>
      <c r="F121" s="29">
        <f>Input!$D$14</f>
        <v>0</v>
      </c>
      <c r="G121" s="29"/>
      <c r="H121" s="69">
        <f>F121/$C$119</f>
        <v>0</v>
      </c>
      <c r="I121" s="30" t="s">
        <v>134</v>
      </c>
      <c r="J121" s="8"/>
    </row>
    <row r="122" spans="1:10">
      <c r="A122" s="46"/>
      <c r="B122" s="25"/>
      <c r="C122" s="13"/>
      <c r="D122" s="13"/>
      <c r="E122" s="15" t="s">
        <v>65</v>
      </c>
      <c r="F122" s="29"/>
      <c r="G122" s="29"/>
      <c r="H122" s="90">
        <f>SUM(H119:H121)</f>
        <v>0</v>
      </c>
      <c r="I122" s="30" t="s">
        <v>387</v>
      </c>
      <c r="J122" s="8"/>
    </row>
    <row r="123" spans="1:10">
      <c r="A123" s="46"/>
      <c r="B123" s="25"/>
      <c r="C123" s="13"/>
      <c r="D123" s="13"/>
      <c r="E123" s="13"/>
      <c r="F123" s="29"/>
      <c r="G123" s="29"/>
      <c r="H123" s="90"/>
      <c r="I123" s="30"/>
      <c r="J123" s="8"/>
    </row>
    <row r="124" spans="1:10">
      <c r="A124" s="47" t="s">
        <v>69</v>
      </c>
      <c r="B124" s="25"/>
      <c r="C124" s="13"/>
      <c r="D124" s="13"/>
      <c r="E124" s="13"/>
      <c r="F124" s="29" t="s">
        <v>185</v>
      </c>
      <c r="G124" s="29"/>
      <c r="H124" s="166"/>
      <c r="I124" s="31"/>
      <c r="J124" s="9"/>
    </row>
    <row r="125" spans="1:10">
      <c r="A125" s="18" t="s">
        <v>562</v>
      </c>
      <c r="B125" s="25"/>
      <c r="C125" s="13">
        <v>130</v>
      </c>
      <c r="D125" s="13" t="s">
        <v>71</v>
      </c>
      <c r="E125" s="13" t="s">
        <v>165</v>
      </c>
      <c r="F125" s="29">
        <f>(Input!D31*Input!H31*(Input!F31+Input!H31))/27</f>
        <v>0</v>
      </c>
      <c r="G125" s="29"/>
      <c r="H125" s="90">
        <f>F125/$C$125</f>
        <v>0</v>
      </c>
      <c r="I125" s="30" t="s">
        <v>134</v>
      </c>
      <c r="J125" s="8"/>
    </row>
    <row r="126" spans="1:10">
      <c r="A126" s="12"/>
      <c r="B126" s="25"/>
      <c r="C126" s="13"/>
      <c r="D126" s="13"/>
      <c r="E126" s="13" t="s">
        <v>166</v>
      </c>
      <c r="F126" s="29">
        <f>(Input!D32*Input!H32*(Input!F32+Input!H32))/27</f>
        <v>0</v>
      </c>
      <c r="G126" s="29"/>
      <c r="H126" s="90">
        <f>F126/$C$125</f>
        <v>0</v>
      </c>
      <c r="I126" s="30" t="s">
        <v>134</v>
      </c>
      <c r="J126" s="8"/>
    </row>
    <row r="127" spans="1:10">
      <c r="A127" s="12"/>
      <c r="B127" s="25"/>
      <c r="C127" s="13"/>
      <c r="D127" s="13"/>
      <c r="E127" s="13" t="s">
        <v>167</v>
      </c>
      <c r="F127" s="29">
        <f>(Input!D33*Input!H33*(Input!F33+Input!H33))/27</f>
        <v>0</v>
      </c>
      <c r="G127" s="29"/>
      <c r="H127" s="90">
        <f>F127/$C$125</f>
        <v>0</v>
      </c>
      <c r="I127" s="30" t="s">
        <v>134</v>
      </c>
      <c r="J127" s="8"/>
    </row>
    <row r="128" spans="1:10">
      <c r="A128" s="12"/>
      <c r="B128" s="25"/>
      <c r="C128" s="13"/>
      <c r="D128" s="13"/>
      <c r="E128" s="13"/>
      <c r="F128" s="29" t="s">
        <v>190</v>
      </c>
      <c r="G128" s="29"/>
      <c r="H128" s="90"/>
      <c r="I128" s="30"/>
      <c r="J128" s="8"/>
    </row>
    <row r="129" spans="1:10">
      <c r="A129" s="18" t="s">
        <v>563</v>
      </c>
      <c r="B129" s="25"/>
      <c r="C129" s="13">
        <v>1458</v>
      </c>
      <c r="D129" s="13" t="s">
        <v>68</v>
      </c>
      <c r="E129" s="13" t="s">
        <v>165</v>
      </c>
      <c r="F129" s="29">
        <f>3*Input!$D31*Input!$F31</f>
        <v>0</v>
      </c>
      <c r="G129" s="29"/>
      <c r="H129" s="90">
        <f>F129/$C$129</f>
        <v>0</v>
      </c>
      <c r="I129" s="30" t="s">
        <v>134</v>
      </c>
      <c r="J129" s="8"/>
    </row>
    <row r="130" spans="1:10">
      <c r="A130" s="12"/>
      <c r="B130" s="25"/>
      <c r="C130" s="13"/>
      <c r="D130" s="13"/>
      <c r="E130" s="13" t="s">
        <v>166</v>
      </c>
      <c r="F130" s="29">
        <f>3*Input!$D32*Input!$F32</f>
        <v>0</v>
      </c>
      <c r="G130" s="29"/>
      <c r="H130" s="90">
        <f>F130/$C$129</f>
        <v>0</v>
      </c>
      <c r="I130" s="30" t="s">
        <v>134</v>
      </c>
      <c r="J130" s="8"/>
    </row>
    <row r="131" spans="1:10">
      <c r="A131" s="12"/>
      <c r="B131" s="25"/>
      <c r="C131" s="13"/>
      <c r="D131" s="13"/>
      <c r="E131" s="13" t="s">
        <v>167</v>
      </c>
      <c r="F131" s="29">
        <f>3*Input!$D33*Input!$F33</f>
        <v>0</v>
      </c>
      <c r="G131" s="29"/>
      <c r="H131" s="90">
        <f>F131/$C$129</f>
        <v>0</v>
      </c>
      <c r="I131" s="30" t="s">
        <v>134</v>
      </c>
      <c r="J131" s="8"/>
    </row>
    <row r="132" spans="1:10">
      <c r="A132" s="12"/>
      <c r="B132" s="25"/>
      <c r="C132" s="13"/>
      <c r="D132" s="13"/>
      <c r="E132" s="15" t="s">
        <v>65</v>
      </c>
      <c r="F132" s="29"/>
      <c r="G132" s="29"/>
      <c r="H132" s="90">
        <f>SUM(H125:H131)</f>
        <v>0</v>
      </c>
      <c r="I132" s="30" t="s">
        <v>390</v>
      </c>
      <c r="J132" s="8"/>
    </row>
    <row r="133" spans="1:10">
      <c r="A133" s="18" t="s">
        <v>568</v>
      </c>
      <c r="B133" s="25"/>
      <c r="C133" s="13">
        <v>200</v>
      </c>
      <c r="D133" s="13" t="s">
        <v>104</v>
      </c>
      <c r="E133" s="13"/>
      <c r="F133" s="29" t="s">
        <v>189</v>
      </c>
      <c r="G133" s="29"/>
      <c r="H133" s="90"/>
      <c r="I133" s="30"/>
      <c r="J133" s="8"/>
    </row>
    <row r="134" spans="1:10">
      <c r="A134" s="12"/>
      <c r="B134" s="25"/>
      <c r="C134" s="13"/>
      <c r="D134" s="13"/>
      <c r="E134" s="13"/>
      <c r="F134" s="29">
        <f>Input!D31+Input!D32+Input!D33</f>
        <v>0</v>
      </c>
      <c r="G134" s="29"/>
      <c r="H134" s="90">
        <f>ROUNDUP(F134/$C$133,0)</f>
        <v>0</v>
      </c>
      <c r="I134" s="131" t="s">
        <v>501</v>
      </c>
      <c r="J134" s="8"/>
    </row>
    <row r="135" spans="1:10">
      <c r="A135" s="18" t="s">
        <v>353</v>
      </c>
      <c r="B135" s="25"/>
      <c r="C135" s="54">
        <f>B97</f>
        <v>0.15</v>
      </c>
      <c r="D135" s="13" t="s">
        <v>237</v>
      </c>
      <c r="E135" s="13"/>
      <c r="F135" s="29" t="s">
        <v>139</v>
      </c>
      <c r="G135" s="29"/>
      <c r="H135" s="90">
        <f>C135*ROUNDUP(F137,0)*Input!D149</f>
        <v>0</v>
      </c>
      <c r="I135" s="30" t="s">
        <v>159</v>
      </c>
      <c r="J135" s="8"/>
    </row>
    <row r="136" spans="1:10">
      <c r="A136" s="12"/>
      <c r="B136" s="25"/>
      <c r="C136" s="13"/>
      <c r="D136" s="13"/>
      <c r="E136" s="13"/>
      <c r="G136" s="29"/>
      <c r="H136" s="90"/>
      <c r="I136" s="30"/>
      <c r="J136" s="8"/>
    </row>
    <row r="137" spans="1:10">
      <c r="A137" s="18" t="s">
        <v>87</v>
      </c>
      <c r="B137" s="25"/>
      <c r="C137" s="54">
        <f>B$99</f>
        <v>32.5</v>
      </c>
      <c r="D137" s="13" t="s">
        <v>103</v>
      </c>
      <c r="E137" s="13"/>
      <c r="F137" s="29">
        <f>(F134*90*(Input!F31)^0.5)/2000</f>
        <v>0</v>
      </c>
      <c r="G137" s="29"/>
      <c r="H137" s="90">
        <f>$F$137*C137</f>
        <v>0</v>
      </c>
      <c r="I137" s="30" t="s">
        <v>159</v>
      </c>
      <c r="J137" s="8"/>
    </row>
    <row r="138" spans="1:10">
      <c r="A138" s="12"/>
      <c r="B138" s="25"/>
      <c r="C138" s="13"/>
      <c r="D138" s="13"/>
      <c r="E138" s="13"/>
      <c r="F138" s="29"/>
      <c r="G138" s="29"/>
      <c r="H138" s="90"/>
      <c r="I138" s="14"/>
      <c r="J138" s="8"/>
    </row>
    <row r="139" spans="1:10">
      <c r="A139" s="12"/>
      <c r="B139" s="25"/>
      <c r="C139" s="13"/>
      <c r="D139" s="13"/>
      <c r="E139" s="13"/>
      <c r="F139" s="29" t="s">
        <v>185</v>
      </c>
      <c r="G139" s="29"/>
      <c r="H139" s="90"/>
      <c r="I139" s="30"/>
      <c r="J139" s="8"/>
    </row>
    <row r="140" spans="1:10">
      <c r="A140" s="47" t="s">
        <v>286</v>
      </c>
      <c r="B140" s="25">
        <f>Continuation!K19/43560</f>
        <v>0</v>
      </c>
      <c r="C140" s="13"/>
      <c r="D140" s="13"/>
      <c r="E140" s="13"/>
      <c r="F140" s="29"/>
      <c r="G140" s="29"/>
      <c r="H140" s="90"/>
      <c r="I140" s="30"/>
      <c r="J140" s="8"/>
    </row>
    <row r="141" spans="1:10">
      <c r="A141" s="12" t="s">
        <v>285</v>
      </c>
      <c r="B141" s="25"/>
      <c r="C141" s="13">
        <v>150</v>
      </c>
      <c r="D141" s="13" t="s">
        <v>71</v>
      </c>
      <c r="E141" s="13"/>
      <c r="F141" s="29">
        <f>Continuation!J19/27</f>
        <v>0</v>
      </c>
      <c r="G141" s="29"/>
      <c r="H141" s="90">
        <f>ROUNDUP(F141/C141,0)</f>
        <v>0</v>
      </c>
      <c r="I141" s="30" t="s">
        <v>134</v>
      </c>
      <c r="J141" s="8"/>
    </row>
    <row r="142" spans="1:10">
      <c r="A142" s="12" t="s">
        <v>266</v>
      </c>
      <c r="B142" s="25"/>
      <c r="C142" s="13">
        <v>14700</v>
      </c>
      <c r="D142" s="13" t="s">
        <v>68</v>
      </c>
      <c r="E142" s="13"/>
      <c r="F142" s="29">
        <f>IF(Continuation!J19&gt;0,Continuation!K19,0)</f>
        <v>0</v>
      </c>
      <c r="G142" s="29"/>
      <c r="H142" s="90">
        <f>ROUNDUP(F142/C142,0)</f>
        <v>0</v>
      </c>
      <c r="I142" s="30" t="s">
        <v>134</v>
      </c>
      <c r="J142" s="8"/>
    </row>
    <row r="143" spans="1:10">
      <c r="A143" s="12"/>
      <c r="B143" s="25"/>
      <c r="C143" s="13"/>
      <c r="D143" s="13"/>
      <c r="E143" s="13"/>
      <c r="F143" s="29"/>
      <c r="G143" s="29"/>
      <c r="H143" s="90">
        <f>SUM(H141:H142)</f>
        <v>0</v>
      </c>
      <c r="I143" s="131" t="s">
        <v>500</v>
      </c>
      <c r="J143" s="8"/>
    </row>
    <row r="144" spans="1:10">
      <c r="A144" s="47" t="s">
        <v>391</v>
      </c>
      <c r="B144" s="25">
        <f>Continuation!J32/43560</f>
        <v>0</v>
      </c>
      <c r="C144" s="13"/>
      <c r="D144" s="13"/>
      <c r="E144" s="13"/>
      <c r="F144" s="29"/>
      <c r="G144" s="29"/>
      <c r="H144" s="90"/>
      <c r="I144" s="30"/>
      <c r="J144" s="8"/>
    </row>
    <row r="145" spans="1:12">
      <c r="A145" s="12"/>
      <c r="B145" s="25"/>
      <c r="C145" s="13"/>
      <c r="D145" s="13"/>
      <c r="E145" s="13"/>
      <c r="F145" s="29"/>
      <c r="G145" s="29"/>
      <c r="H145" s="90"/>
      <c r="I145" s="30"/>
      <c r="J145" s="8"/>
    </row>
    <row r="146" spans="1:12">
      <c r="A146" s="47" t="s">
        <v>341</v>
      </c>
      <c r="B146" s="25"/>
      <c r="C146" s="13"/>
      <c r="D146" s="13"/>
      <c r="E146" s="13"/>
      <c r="F146" s="13"/>
      <c r="G146" s="29"/>
      <c r="H146" s="90"/>
      <c r="I146" s="30"/>
      <c r="J146" s="8"/>
    </row>
    <row r="147" spans="1:12">
      <c r="A147" s="12" t="s">
        <v>404</v>
      </c>
      <c r="B147" s="25">
        <f>Continuation!K60/43560</f>
        <v>0</v>
      </c>
      <c r="C147" s="13">
        <v>280</v>
      </c>
      <c r="D147" s="13" t="s">
        <v>71</v>
      </c>
      <c r="E147" s="13"/>
      <c r="F147" s="29">
        <f>Continuation!J60/27</f>
        <v>0</v>
      </c>
      <c r="G147" s="29" t="s">
        <v>185</v>
      </c>
      <c r="H147" s="90">
        <f>F147/C147</f>
        <v>0</v>
      </c>
      <c r="I147" s="131" t="s">
        <v>388</v>
      </c>
      <c r="J147" s="8"/>
    </row>
    <row r="148" spans="1:12">
      <c r="A148" s="12"/>
      <c r="B148" s="25"/>
      <c r="C148" s="13"/>
      <c r="D148" s="13"/>
      <c r="E148" s="13"/>
      <c r="F148" s="29"/>
      <c r="G148" s="29"/>
      <c r="H148" s="90"/>
      <c r="I148" s="30"/>
      <c r="J148" s="8"/>
    </row>
    <row r="149" spans="1:12">
      <c r="A149" s="47" t="s">
        <v>72</v>
      </c>
      <c r="B149" s="25"/>
      <c r="C149" s="13"/>
      <c r="D149" s="13"/>
      <c r="E149" s="13"/>
      <c r="F149" s="29" t="s">
        <v>185</v>
      </c>
      <c r="G149" s="29"/>
      <c r="H149" s="90"/>
      <c r="I149" s="30"/>
      <c r="J149" s="8"/>
    </row>
    <row r="150" spans="1:12">
      <c r="A150" s="12" t="s">
        <v>491</v>
      </c>
      <c r="B150" s="25">
        <f>((Input!D35*Input!F35)+Input!H35*(Input!D35+2*Input!F35)*2)/43560</f>
        <v>0</v>
      </c>
      <c r="C150" s="13">
        <v>280</v>
      </c>
      <c r="D150" s="13" t="s">
        <v>71</v>
      </c>
      <c r="E150" s="13" t="s">
        <v>168</v>
      </c>
      <c r="F150" s="29">
        <f>(0.21*(Input!H35)^2*(2*Input!F35+Input!D35))/27</f>
        <v>0</v>
      </c>
      <c r="G150" s="13"/>
      <c r="H150" s="90">
        <f>F150/$C$150</f>
        <v>0</v>
      </c>
      <c r="I150" s="30" t="s">
        <v>134</v>
      </c>
      <c r="J150" s="8"/>
    </row>
    <row r="151" spans="1:12">
      <c r="A151" s="18"/>
      <c r="B151" s="25">
        <f>((Input!D36*Input!F36)+Input!H36*(Input!D36+2*Input!F36)*2)/43560</f>
        <v>0</v>
      </c>
      <c r="C151" s="13"/>
      <c r="D151" s="13"/>
      <c r="E151" s="13" t="s">
        <v>169</v>
      </c>
      <c r="F151" s="29">
        <f>(0.21*(Input!H36)^2*(2*Input!F36+Input!D36))/27</f>
        <v>0</v>
      </c>
      <c r="G151" s="13"/>
      <c r="H151" s="90">
        <f t="shared" ref="H151:H159" si="9">F151/$C$150</f>
        <v>0</v>
      </c>
      <c r="I151" s="30" t="s">
        <v>134</v>
      </c>
      <c r="J151" s="8"/>
    </row>
    <row r="152" spans="1:12">
      <c r="A152" s="18"/>
      <c r="B152" s="25">
        <f>((Input!D37*Input!F37)+Input!H37*(Input!D37+2*Input!F37)*2)/43560</f>
        <v>0</v>
      </c>
      <c r="C152" s="13"/>
      <c r="D152" s="13"/>
      <c r="E152" s="13" t="s">
        <v>170</v>
      </c>
      <c r="F152" s="29">
        <f>(0.21*(Input!H37)^2*(2*Input!F37+Input!D37))/27</f>
        <v>0</v>
      </c>
      <c r="G152" s="13"/>
      <c r="H152" s="90">
        <f t="shared" si="9"/>
        <v>0</v>
      </c>
      <c r="I152" s="30" t="s">
        <v>134</v>
      </c>
      <c r="J152" s="8"/>
      <c r="L152" t="s">
        <v>28</v>
      </c>
    </row>
    <row r="153" spans="1:12">
      <c r="A153" s="18"/>
      <c r="B153" s="25">
        <f>((Input!D38*Input!F38)+Input!H38*(Input!D38+2*Input!F38)*2)/43560</f>
        <v>0</v>
      </c>
      <c r="C153" s="13"/>
      <c r="D153" s="13"/>
      <c r="E153" s="15" t="s">
        <v>363</v>
      </c>
      <c r="F153" s="29">
        <f>(0.21*(Input!H38)^2*(2*Input!F38+Input!D38))/27</f>
        <v>0</v>
      </c>
      <c r="G153" s="29"/>
      <c r="H153" s="90">
        <f t="shared" si="9"/>
        <v>0</v>
      </c>
      <c r="I153" s="30" t="s">
        <v>134</v>
      </c>
      <c r="J153" s="8"/>
    </row>
    <row r="154" spans="1:12">
      <c r="A154" s="18"/>
      <c r="B154" s="25">
        <f>((Input!D39*Input!F39)+Input!H39*(Input!D39+2*Input!F39)*2)/43560</f>
        <v>0</v>
      </c>
      <c r="C154" s="13"/>
      <c r="D154" s="13"/>
      <c r="E154" s="15" t="s">
        <v>364</v>
      </c>
      <c r="F154" s="29">
        <f>(0.21*(Input!H39)^2*(2*Input!F39+Input!D39))/27</f>
        <v>0</v>
      </c>
      <c r="G154" s="29"/>
      <c r="H154" s="90">
        <f t="shared" si="9"/>
        <v>0</v>
      </c>
      <c r="I154" s="30" t="s">
        <v>134</v>
      </c>
      <c r="J154" s="8"/>
    </row>
    <row r="155" spans="1:12">
      <c r="A155" s="18"/>
      <c r="B155" s="25">
        <f>((Input!D40*Input!F40)+Input!H40*(Input!D40+2*Input!F40)*2)/43560</f>
        <v>0</v>
      </c>
      <c r="C155" s="13"/>
      <c r="D155" s="13"/>
      <c r="E155" s="15" t="s">
        <v>407</v>
      </c>
      <c r="F155" s="29">
        <f>(0.21*(Input!H40)^2*(2*Input!F40+Input!D40))/27</f>
        <v>0</v>
      </c>
      <c r="G155" s="29"/>
      <c r="H155" s="90">
        <f t="shared" si="9"/>
        <v>0</v>
      </c>
      <c r="I155" s="30" t="s">
        <v>134</v>
      </c>
      <c r="J155" s="8"/>
    </row>
    <row r="156" spans="1:12">
      <c r="A156" s="18"/>
      <c r="B156" s="25">
        <f>((Input!D41*Input!F41)+Input!H41*(Input!D41+2*Input!F41)*2)/43560</f>
        <v>0</v>
      </c>
      <c r="C156" s="13"/>
      <c r="D156" s="13"/>
      <c r="E156" s="15" t="s">
        <v>408</v>
      </c>
      <c r="F156" s="29">
        <f>(0.21*(Input!H41)^2*(2*Input!F41+Input!D41))/27</f>
        <v>0</v>
      </c>
      <c r="G156" s="29"/>
      <c r="H156" s="90">
        <f t="shared" si="9"/>
        <v>0</v>
      </c>
      <c r="I156" s="30" t="s">
        <v>134</v>
      </c>
      <c r="J156" s="8"/>
    </row>
    <row r="157" spans="1:12">
      <c r="A157" s="18"/>
      <c r="B157" s="25">
        <f>((Input!D42*Input!F42)+Input!H42*(Input!D42+2*Input!F42)*2)/43560</f>
        <v>0</v>
      </c>
      <c r="C157" s="13"/>
      <c r="D157" s="13"/>
      <c r="E157" s="15" t="s">
        <v>409</v>
      </c>
      <c r="F157" s="29">
        <f>(0.21*(Input!H42)^2*(2*Input!F42+Input!D42))/27</f>
        <v>0</v>
      </c>
      <c r="G157" s="29"/>
      <c r="H157" s="90">
        <f t="shared" si="9"/>
        <v>0</v>
      </c>
      <c r="I157" s="30" t="s">
        <v>134</v>
      </c>
      <c r="J157" s="8"/>
    </row>
    <row r="158" spans="1:12">
      <c r="A158" s="18"/>
      <c r="B158" s="25">
        <f>((Input!D43*Input!F43)+Input!H43*(Input!D43+2*Input!F43)*2)/43560</f>
        <v>0</v>
      </c>
      <c r="C158" s="13"/>
      <c r="D158" s="13"/>
      <c r="E158" s="15" t="s">
        <v>410</v>
      </c>
      <c r="F158" s="29">
        <f>(0.21*(Input!H43)^2*(2*Input!F43+Input!D43))/27</f>
        <v>0</v>
      </c>
      <c r="G158" s="29"/>
      <c r="H158" s="90">
        <f t="shared" si="9"/>
        <v>0</v>
      </c>
      <c r="I158" s="30" t="s">
        <v>134</v>
      </c>
      <c r="J158" s="8"/>
    </row>
    <row r="159" spans="1:12">
      <c r="A159" s="18"/>
      <c r="B159" s="25">
        <f>((Input!D44*Input!F44)+Input!H44*(Input!D44+2*Input!F44)*2)/43560</f>
        <v>0</v>
      </c>
      <c r="C159" s="13"/>
      <c r="D159" s="13"/>
      <c r="E159" s="15" t="s">
        <v>411</v>
      </c>
      <c r="F159" s="29">
        <f>(0.21*(Input!H44)^2*(2*Input!F44+Input!D44))/27</f>
        <v>0</v>
      </c>
      <c r="G159" s="13"/>
      <c r="H159" s="90">
        <f t="shared" si="9"/>
        <v>0</v>
      </c>
      <c r="I159" s="30" t="s">
        <v>134</v>
      </c>
      <c r="J159" s="8"/>
    </row>
    <row r="160" spans="1:12">
      <c r="A160" s="18"/>
      <c r="B160" s="25"/>
      <c r="C160" s="13"/>
      <c r="D160" s="13"/>
      <c r="E160" s="15" t="s">
        <v>65</v>
      </c>
      <c r="F160" s="29"/>
      <c r="G160" s="29"/>
      <c r="H160" s="90">
        <f>SUM(H150:H159)</f>
        <v>0</v>
      </c>
      <c r="I160" s="30" t="s">
        <v>388</v>
      </c>
      <c r="J160" s="8"/>
    </row>
    <row r="161" spans="1:18">
      <c r="A161" s="18"/>
      <c r="B161" s="25"/>
      <c r="C161" s="13"/>
      <c r="D161" s="13"/>
      <c r="E161" s="13"/>
      <c r="F161" s="29"/>
      <c r="G161" s="29"/>
      <c r="H161" s="90"/>
      <c r="I161" s="30"/>
      <c r="J161" s="8"/>
    </row>
    <row r="162" spans="1:18">
      <c r="A162" s="18" t="s">
        <v>356</v>
      </c>
      <c r="B162" s="25"/>
      <c r="C162" s="13"/>
      <c r="D162" s="13"/>
      <c r="E162" s="13"/>
      <c r="F162" s="29" t="s">
        <v>190</v>
      </c>
      <c r="G162" s="29"/>
      <c r="H162" s="90"/>
      <c r="I162" s="30"/>
      <c r="J162" s="8"/>
    </row>
    <row r="163" spans="1:18">
      <c r="A163" s="18"/>
      <c r="B163" s="25">
        <f>F163/43560</f>
        <v>0</v>
      </c>
      <c r="C163" s="13">
        <v>19296</v>
      </c>
      <c r="D163" s="13" t="s">
        <v>68</v>
      </c>
      <c r="E163" s="13" t="s">
        <v>168</v>
      </c>
      <c r="F163" s="29">
        <f>Input!D35*Input!F35</f>
        <v>0</v>
      </c>
      <c r="G163" s="29"/>
      <c r="H163" s="90">
        <f t="shared" ref="H163:H172" si="10">F163/C$163</f>
        <v>0</v>
      </c>
      <c r="I163" s="30" t="s">
        <v>134</v>
      </c>
      <c r="J163" s="8"/>
    </row>
    <row r="164" spans="1:18">
      <c r="A164" s="18"/>
      <c r="B164" s="25">
        <f t="shared" ref="B164:B172" si="11">F164/43560</f>
        <v>0</v>
      </c>
      <c r="C164" s="13"/>
      <c r="D164" s="13"/>
      <c r="E164" s="13" t="s">
        <v>169</v>
      </c>
      <c r="F164" s="29">
        <f>Input!D36*Input!F36</f>
        <v>0</v>
      </c>
      <c r="G164" s="29"/>
      <c r="H164" s="90">
        <f t="shared" si="10"/>
        <v>0</v>
      </c>
      <c r="I164" s="30" t="s">
        <v>134</v>
      </c>
      <c r="J164" s="8"/>
    </row>
    <row r="165" spans="1:18">
      <c r="A165" s="99"/>
      <c r="B165" s="25">
        <f t="shared" si="11"/>
        <v>0</v>
      </c>
      <c r="C165" s="13"/>
      <c r="D165" s="13"/>
      <c r="E165" s="13" t="s">
        <v>170</v>
      </c>
      <c r="F165" s="29">
        <f>Input!D37*Input!F37</f>
        <v>0</v>
      </c>
      <c r="G165" s="29"/>
      <c r="H165" s="90">
        <f t="shared" si="10"/>
        <v>0</v>
      </c>
      <c r="I165" s="30" t="s">
        <v>134</v>
      </c>
      <c r="J165" s="8"/>
    </row>
    <row r="166" spans="1:18">
      <c r="A166" s="99"/>
      <c r="B166" s="25">
        <f t="shared" si="11"/>
        <v>0</v>
      </c>
      <c r="C166" s="13"/>
      <c r="D166" s="13"/>
      <c r="E166" s="15" t="s">
        <v>363</v>
      </c>
      <c r="F166" s="29">
        <f>Input!D38*Input!F38</f>
        <v>0</v>
      </c>
      <c r="G166" s="29"/>
      <c r="H166" s="90">
        <f t="shared" si="10"/>
        <v>0</v>
      </c>
      <c r="I166" s="30" t="s">
        <v>134</v>
      </c>
      <c r="J166" s="8"/>
    </row>
    <row r="167" spans="1:18">
      <c r="A167" s="99"/>
      <c r="B167" s="25">
        <f t="shared" si="11"/>
        <v>0</v>
      </c>
      <c r="C167" s="13"/>
      <c r="D167" s="13"/>
      <c r="E167" s="15" t="s">
        <v>364</v>
      </c>
      <c r="F167" s="29">
        <f>Input!D39*Input!F39</f>
        <v>0</v>
      </c>
      <c r="G167" s="29"/>
      <c r="H167" s="90">
        <f t="shared" si="10"/>
        <v>0</v>
      </c>
      <c r="I167" s="30" t="s">
        <v>134</v>
      </c>
      <c r="J167" s="8"/>
    </row>
    <row r="168" spans="1:18">
      <c r="A168" s="99"/>
      <c r="B168" s="25">
        <f t="shared" si="11"/>
        <v>0</v>
      </c>
      <c r="C168" s="13"/>
      <c r="D168" s="13"/>
      <c r="E168" s="15" t="s">
        <v>407</v>
      </c>
      <c r="F168" s="29">
        <f>Input!D40*Input!F40</f>
        <v>0</v>
      </c>
      <c r="G168" s="29"/>
      <c r="H168" s="90">
        <f t="shared" si="10"/>
        <v>0</v>
      </c>
      <c r="I168" s="30" t="s">
        <v>134</v>
      </c>
      <c r="J168" s="8"/>
    </row>
    <row r="169" spans="1:18">
      <c r="A169" s="99"/>
      <c r="B169" s="25">
        <f t="shared" si="11"/>
        <v>0</v>
      </c>
      <c r="C169" s="13"/>
      <c r="D169" s="13"/>
      <c r="E169" s="15" t="s">
        <v>408</v>
      </c>
      <c r="F169" s="29">
        <f>Input!D41*Input!F41</f>
        <v>0</v>
      </c>
      <c r="G169" s="29"/>
      <c r="H169" s="90">
        <f t="shared" si="10"/>
        <v>0</v>
      </c>
      <c r="I169" s="30" t="s">
        <v>134</v>
      </c>
      <c r="J169" s="8"/>
    </row>
    <row r="170" spans="1:18">
      <c r="A170" s="99"/>
      <c r="B170" s="25">
        <f t="shared" si="11"/>
        <v>0</v>
      </c>
      <c r="C170" s="13"/>
      <c r="D170" s="13"/>
      <c r="E170" s="15" t="s">
        <v>409</v>
      </c>
      <c r="F170" s="29">
        <f>Input!D42*Input!F42</f>
        <v>0</v>
      </c>
      <c r="G170" s="29"/>
      <c r="H170" s="90">
        <f t="shared" si="10"/>
        <v>0</v>
      </c>
      <c r="I170" s="30" t="s">
        <v>134</v>
      </c>
      <c r="J170" s="8"/>
    </row>
    <row r="171" spans="1:18">
      <c r="A171" s="99"/>
      <c r="B171" s="25">
        <f t="shared" si="11"/>
        <v>0</v>
      </c>
      <c r="C171" s="13"/>
      <c r="D171" s="13"/>
      <c r="E171" s="15" t="s">
        <v>410</v>
      </c>
      <c r="F171" s="29">
        <f>Input!D43*Input!F43</f>
        <v>0</v>
      </c>
      <c r="G171" s="29"/>
      <c r="H171" s="90">
        <f t="shared" si="10"/>
        <v>0</v>
      </c>
      <c r="I171" s="30" t="s">
        <v>134</v>
      </c>
      <c r="J171" s="8"/>
    </row>
    <row r="172" spans="1:18">
      <c r="A172" s="99"/>
      <c r="B172" s="25">
        <f t="shared" si="11"/>
        <v>0</v>
      </c>
      <c r="C172" s="13"/>
      <c r="D172" s="13"/>
      <c r="E172" s="15" t="s">
        <v>411</v>
      </c>
      <c r="F172" s="29">
        <f>Input!D44*Input!F44</f>
        <v>0</v>
      </c>
      <c r="G172" s="29"/>
      <c r="H172" s="90">
        <f t="shared" si="10"/>
        <v>0</v>
      </c>
      <c r="I172" s="30" t="s">
        <v>134</v>
      </c>
      <c r="J172" s="8"/>
    </row>
    <row r="173" spans="1:18">
      <c r="A173" s="99"/>
      <c r="B173" s="25"/>
      <c r="C173" s="13"/>
      <c r="D173" s="13"/>
      <c r="E173" s="15" t="s">
        <v>65</v>
      </c>
      <c r="F173" s="29"/>
      <c r="G173" s="29"/>
      <c r="H173" s="90">
        <f>SUM(H163:H172)</f>
        <v>0</v>
      </c>
      <c r="I173" s="30" t="s">
        <v>388</v>
      </c>
      <c r="J173" s="8"/>
    </row>
    <row r="174" spans="1:18">
      <c r="A174" s="87" t="s">
        <v>0</v>
      </c>
      <c r="B174" s="88"/>
      <c r="C174" s="15"/>
      <c r="D174" s="15"/>
      <c r="E174" s="15"/>
      <c r="F174" s="89" t="s">
        <v>187</v>
      </c>
      <c r="G174" s="89" t="s">
        <v>188</v>
      </c>
      <c r="H174" s="90"/>
      <c r="I174" s="62"/>
      <c r="J174" s="8"/>
    </row>
    <row r="175" spans="1:18">
      <c r="A175" s="91" t="s">
        <v>357</v>
      </c>
      <c r="B175" s="88"/>
      <c r="C175" s="15">
        <v>237</v>
      </c>
      <c r="D175" s="15" t="s">
        <v>71</v>
      </c>
      <c r="E175" s="15" t="s">
        <v>171</v>
      </c>
      <c r="F175" s="89">
        <f>IF(Input!D47=0,(Input!D46*Input!F46*Input!H46)/27,(Input!D46*Input!F46*(Input!H46-Input!D47))/27)</f>
        <v>0</v>
      </c>
      <c r="G175" s="89">
        <f>((Input!D46*Input!F46*Input!H46)/27)-F175</f>
        <v>0</v>
      </c>
      <c r="H175" s="90">
        <f>F175/$C$175+G175/$C$176</f>
        <v>0</v>
      </c>
      <c r="I175" s="62" t="s">
        <v>134</v>
      </c>
      <c r="J175" s="8"/>
    </row>
    <row r="176" spans="1:18">
      <c r="A176" s="18" t="s">
        <v>358</v>
      </c>
      <c r="B176" s="25"/>
      <c r="C176" s="13">
        <v>237</v>
      </c>
      <c r="D176" s="13" t="s">
        <v>71</v>
      </c>
      <c r="E176" s="13" t="s">
        <v>172</v>
      </c>
      <c r="F176" s="29">
        <f>IF(Input!D49=0,(Input!D48*Input!F48*Input!H48)/27,(Input!D48*Input!F48*(Input!H48-Input!D49))/27)</f>
        <v>0</v>
      </c>
      <c r="G176" s="29">
        <f>((Input!D48*Input!F48*Input!H48)/27)-F176</f>
        <v>0</v>
      </c>
      <c r="H176" s="90">
        <f>F176/$C$175+G176/$C$176</f>
        <v>0</v>
      </c>
      <c r="I176" s="30" t="s">
        <v>134</v>
      </c>
      <c r="J176" s="8"/>
      <c r="K176" s="8"/>
      <c r="L176" s="8"/>
      <c r="M176" s="8"/>
      <c r="N176" s="8"/>
      <c r="O176" s="8"/>
      <c r="P176" s="8"/>
      <c r="Q176" s="8"/>
      <c r="R176" s="8"/>
    </row>
    <row r="177" spans="1:18">
      <c r="A177" s="12"/>
      <c r="B177" s="13"/>
      <c r="C177" s="13"/>
      <c r="D177" s="13"/>
      <c r="E177" s="13" t="s">
        <v>173</v>
      </c>
      <c r="F177" s="29">
        <f>IF(Input!D51=0,(Input!D50*Input!F50*Input!H50)/27,(Input!D50*Input!F50*(Input!H50-Input!D51))/27)</f>
        <v>0</v>
      </c>
      <c r="G177" s="29">
        <f>((Input!D50*Input!F50*Input!H50)/27)-F177</f>
        <v>0</v>
      </c>
      <c r="H177" s="90">
        <f>F177/$C$175+G177/$C$176</f>
        <v>0</v>
      </c>
      <c r="I177" s="30" t="s">
        <v>134</v>
      </c>
      <c r="J177" s="8"/>
      <c r="K177" s="8"/>
      <c r="L177" s="8"/>
      <c r="M177" s="8"/>
      <c r="N177" s="8"/>
      <c r="O177" s="8"/>
      <c r="P177" s="8"/>
      <c r="Q177" s="8"/>
      <c r="R177" s="8"/>
    </row>
    <row r="178" spans="1:18">
      <c r="A178" s="12"/>
      <c r="B178" s="13"/>
      <c r="C178" s="13"/>
      <c r="D178" s="13"/>
      <c r="E178" s="15" t="s">
        <v>359</v>
      </c>
      <c r="F178" s="29">
        <f>IF(Input!D53=0,(Input!D52*Input!F52*Input!H52)/27,(Input!D52*Input!F52*(Input!H52-Input!D53))/27)</f>
        <v>0</v>
      </c>
      <c r="G178" s="29">
        <f>((Input!D52*Input!F52*Input!H52)/27)-F178</f>
        <v>0</v>
      </c>
      <c r="H178" s="90">
        <f>F178/$C$175+G178/$C$176</f>
        <v>0</v>
      </c>
      <c r="I178" s="30" t="s">
        <v>134</v>
      </c>
      <c r="J178" s="8"/>
      <c r="K178" s="8"/>
      <c r="L178" s="8"/>
      <c r="M178" s="8"/>
      <c r="N178" s="8"/>
      <c r="O178" s="8"/>
    </row>
    <row r="179" spans="1:18">
      <c r="A179" s="12"/>
      <c r="B179" s="13"/>
      <c r="C179" s="13"/>
      <c r="D179" s="13"/>
      <c r="E179" s="15" t="s">
        <v>360</v>
      </c>
      <c r="F179" s="29">
        <f>IF(Input!D55=0,(Input!D54*Input!F54*Input!H54)/27,(Input!D54*Input!F54*(Input!H54-Input!D55))/27)</f>
        <v>0</v>
      </c>
      <c r="G179" s="29">
        <f>((Input!D54*Input!F54*Input!H54)/27)-F179</f>
        <v>0</v>
      </c>
      <c r="H179" s="90">
        <f>F179/$C$175+G179/$C$176</f>
        <v>0</v>
      </c>
      <c r="I179" s="30" t="s">
        <v>134</v>
      </c>
      <c r="J179" s="8"/>
      <c r="K179" s="8"/>
      <c r="L179" s="8"/>
      <c r="M179" s="8"/>
      <c r="N179" s="8"/>
      <c r="O179" s="8"/>
    </row>
    <row r="180" spans="1:18">
      <c r="A180" s="12"/>
      <c r="B180" s="13"/>
      <c r="C180" s="13"/>
      <c r="D180" s="13"/>
      <c r="E180" s="15" t="s">
        <v>65</v>
      </c>
      <c r="F180" s="29"/>
      <c r="G180" s="29"/>
      <c r="H180" s="90">
        <f>ROUNDUP(SUM(H175:H179),0)</f>
        <v>0</v>
      </c>
      <c r="I180" s="30" t="s">
        <v>389</v>
      </c>
      <c r="J180" s="8"/>
      <c r="K180" s="8"/>
      <c r="L180" s="8"/>
      <c r="M180" s="8"/>
      <c r="N180" s="8"/>
      <c r="O180" s="8"/>
    </row>
    <row r="181" spans="1:18">
      <c r="A181" s="38" t="s">
        <v>603</v>
      </c>
      <c r="B181" s="25"/>
      <c r="C181" s="54">
        <v>12.74</v>
      </c>
      <c r="D181" s="13" t="s">
        <v>73</v>
      </c>
      <c r="E181" s="15"/>
      <c r="F181" s="29"/>
      <c r="G181" s="29"/>
      <c r="H181" s="90">
        <f>(G175+G176+G177+G178+G179)*C181+(G175+G176+G177+178+179)*C182*Input!$D$57</f>
        <v>0</v>
      </c>
      <c r="I181" s="30" t="s">
        <v>159</v>
      </c>
      <c r="J181" s="8"/>
      <c r="K181" s="8"/>
      <c r="L181" s="8"/>
      <c r="M181" s="8"/>
      <c r="N181" s="8"/>
      <c r="O181" s="8"/>
    </row>
    <row r="182" spans="1:18">
      <c r="A182" s="38" t="s">
        <v>361</v>
      </c>
      <c r="B182" s="25"/>
      <c r="C182" s="54">
        <v>0.13500000000000001</v>
      </c>
      <c r="D182" s="13" t="s">
        <v>74</v>
      </c>
      <c r="E182" s="13"/>
      <c r="F182" s="13"/>
      <c r="G182" s="13"/>
      <c r="H182" s="90"/>
      <c r="I182" s="30" t="s">
        <v>362</v>
      </c>
      <c r="J182" s="8"/>
      <c r="K182" s="8"/>
      <c r="L182" s="8"/>
      <c r="M182" s="8"/>
      <c r="N182" s="8"/>
      <c r="O182" s="8"/>
    </row>
    <row r="183" spans="1:18">
      <c r="A183" s="18" t="s">
        <v>75</v>
      </c>
      <c r="B183" s="25"/>
      <c r="C183" s="13"/>
      <c r="D183" s="13"/>
      <c r="E183" s="13"/>
      <c r="F183" s="29" t="s">
        <v>138</v>
      </c>
      <c r="G183" s="29"/>
      <c r="H183" s="90"/>
      <c r="I183" s="30"/>
      <c r="J183" s="8"/>
      <c r="K183" s="8"/>
      <c r="L183" s="8"/>
      <c r="M183" s="8"/>
      <c r="N183" s="8"/>
      <c r="O183" s="8"/>
      <c r="P183" s="8"/>
      <c r="Q183" s="8"/>
      <c r="R183" s="8"/>
    </row>
    <row r="184" spans="1:18">
      <c r="A184" s="38" t="s">
        <v>76</v>
      </c>
      <c r="B184" s="25"/>
      <c r="C184" s="54">
        <v>292</v>
      </c>
      <c r="D184" s="13" t="s">
        <v>77</v>
      </c>
      <c r="E184" s="13"/>
      <c r="F184" s="29">
        <f>(IF(F175=0,0,IF(F176=0,1,IF(F177=0,2,3))))*2</f>
        <v>0</v>
      </c>
      <c r="G184" s="29"/>
      <c r="H184" s="90">
        <f>F184*C184</f>
        <v>0</v>
      </c>
      <c r="I184" s="30" t="s">
        <v>159</v>
      </c>
      <c r="J184" s="8"/>
      <c r="K184" s="8"/>
      <c r="L184" s="8"/>
      <c r="M184" s="8"/>
      <c r="N184" s="8"/>
      <c r="O184" s="8"/>
      <c r="P184" s="8"/>
      <c r="Q184" s="8"/>
    </row>
    <row r="185" spans="1:18">
      <c r="A185" s="133" t="s">
        <v>503</v>
      </c>
      <c r="B185" s="25"/>
      <c r="C185" s="13">
        <v>6</v>
      </c>
      <c r="D185" s="13" t="s">
        <v>121</v>
      </c>
      <c r="E185" s="13"/>
      <c r="F185" s="29"/>
      <c r="G185" s="29"/>
      <c r="H185" s="90">
        <f>F184*(C185*Calculations!$E$90)</f>
        <v>0</v>
      </c>
      <c r="I185" s="30" t="s">
        <v>159</v>
      </c>
      <c r="J185" s="8"/>
      <c r="K185" s="8"/>
      <c r="L185" s="8"/>
      <c r="M185" s="8"/>
      <c r="N185" s="8"/>
      <c r="O185" s="8"/>
      <c r="P185" s="8"/>
      <c r="Q185" s="8"/>
      <c r="R185" s="8"/>
    </row>
    <row r="186" spans="1:18">
      <c r="A186" s="18" t="s">
        <v>79</v>
      </c>
      <c r="B186" s="25"/>
      <c r="C186" s="13"/>
      <c r="D186" s="13"/>
      <c r="E186" s="13"/>
      <c r="F186" s="29" t="s">
        <v>138</v>
      </c>
      <c r="G186" s="29"/>
      <c r="H186" s="90"/>
      <c r="I186" s="30"/>
      <c r="J186" s="8"/>
      <c r="K186" s="8"/>
      <c r="L186" s="8"/>
      <c r="M186" s="8"/>
      <c r="N186" s="8"/>
      <c r="O186" s="8"/>
      <c r="P186" s="8"/>
      <c r="Q186" s="8"/>
      <c r="R186" s="8"/>
    </row>
    <row r="187" spans="1:18">
      <c r="A187" s="38" t="s">
        <v>80</v>
      </c>
      <c r="B187" s="25"/>
      <c r="C187" s="54">
        <v>132</v>
      </c>
      <c r="D187" s="13" t="s">
        <v>122</v>
      </c>
      <c r="E187" s="13"/>
      <c r="F187" s="29">
        <f>F184/2</f>
        <v>0</v>
      </c>
      <c r="G187" s="29"/>
      <c r="H187" s="90">
        <f>F187*C187</f>
        <v>0</v>
      </c>
      <c r="I187" s="30" t="s">
        <v>159</v>
      </c>
      <c r="J187" s="8"/>
      <c r="K187" s="8"/>
      <c r="L187" s="8"/>
      <c r="M187" s="8"/>
      <c r="N187" s="8"/>
      <c r="O187" s="8"/>
      <c r="P187" s="8"/>
      <c r="Q187" s="8"/>
    </row>
    <row r="188" spans="1:18">
      <c r="A188" s="133" t="s">
        <v>503</v>
      </c>
      <c r="B188" s="25"/>
      <c r="C188" s="13">
        <v>6</v>
      </c>
      <c r="D188" s="13" t="s">
        <v>78</v>
      </c>
      <c r="E188" s="13"/>
      <c r="F188" s="29"/>
      <c r="G188" s="29"/>
      <c r="H188" s="90">
        <f>F187*(C188*Calculations!$E$91)</f>
        <v>0</v>
      </c>
      <c r="I188" s="30" t="s">
        <v>159</v>
      </c>
      <c r="J188" s="8"/>
      <c r="K188" s="8"/>
      <c r="L188" s="8"/>
      <c r="M188" s="8"/>
      <c r="N188" s="8"/>
      <c r="O188" s="8"/>
      <c r="P188" s="8"/>
      <c r="Q188" s="8"/>
      <c r="R188" s="8"/>
    </row>
    <row r="189" spans="1:18">
      <c r="A189" s="12"/>
      <c r="B189" s="25"/>
      <c r="C189" s="13"/>
      <c r="D189" s="13"/>
      <c r="E189" s="13"/>
      <c r="F189" s="29" t="s">
        <v>185</v>
      </c>
      <c r="G189" s="29"/>
      <c r="H189" s="90"/>
      <c r="I189" s="30"/>
      <c r="J189" s="8"/>
      <c r="K189" s="8"/>
      <c r="L189" s="8"/>
      <c r="M189" s="8"/>
      <c r="N189" s="8"/>
      <c r="O189" s="8"/>
      <c r="P189" s="8"/>
      <c r="Q189" s="8"/>
      <c r="R189" s="8"/>
    </row>
    <row r="190" spans="1:18">
      <c r="A190" s="47" t="s">
        <v>1</v>
      </c>
      <c r="B190" s="25">
        <f>Input!D59*Input!F59/43560</f>
        <v>0</v>
      </c>
      <c r="C190" s="13">
        <v>237</v>
      </c>
      <c r="D190" s="13" t="s">
        <v>71</v>
      </c>
      <c r="E190" s="13" t="s">
        <v>174</v>
      </c>
      <c r="F190" s="29">
        <f>IF((Input!D59*Input!F59*Input!H59)/27&gt;1000, 2*(Input!D59+Input!F59)*1.75,(Input!D59*Input!F59*Input!H59)/27)</f>
        <v>0</v>
      </c>
      <c r="G190" s="29"/>
      <c r="H190" s="90">
        <f>F190/$C$190</f>
        <v>0</v>
      </c>
      <c r="I190" s="30" t="s">
        <v>134</v>
      </c>
      <c r="J190" s="8"/>
      <c r="K190" s="8"/>
      <c r="L190" s="8"/>
      <c r="M190" s="8"/>
      <c r="N190" s="8"/>
      <c r="O190" s="8"/>
      <c r="P190" s="8"/>
      <c r="Q190" s="8"/>
      <c r="R190" s="8"/>
    </row>
    <row r="191" spans="1:18">
      <c r="A191" s="18" t="s">
        <v>375</v>
      </c>
      <c r="B191" s="25">
        <f>Input!D60*Input!F60/43560</f>
        <v>0</v>
      </c>
      <c r="C191" s="13"/>
      <c r="D191" s="13"/>
      <c r="E191" s="13" t="s">
        <v>175</v>
      </c>
      <c r="F191" s="29">
        <f>IF((Input!D60*Input!F60*Input!H60)/27&gt;1000, 2*(Input!D60+Input!F60)*1.75,(Input!D60*Input!F60*Input!H60)/27)</f>
        <v>0</v>
      </c>
      <c r="G191" s="29"/>
      <c r="H191" s="90">
        <f t="shared" ref="H191:H199" si="12">F191/$C$190</f>
        <v>0</v>
      </c>
      <c r="I191" s="30" t="s">
        <v>134</v>
      </c>
      <c r="J191" s="8"/>
      <c r="K191" s="8"/>
      <c r="L191" s="8"/>
      <c r="M191" s="8"/>
      <c r="N191" s="8"/>
      <c r="O191" s="8"/>
      <c r="P191" s="8"/>
      <c r="Q191" s="8"/>
      <c r="R191" s="8"/>
    </row>
    <row r="192" spans="1:18">
      <c r="A192" s="18"/>
      <c r="B192" s="25">
        <f>Input!D61*Input!F61/43560</f>
        <v>0</v>
      </c>
      <c r="C192" s="13"/>
      <c r="D192" s="13"/>
      <c r="E192" s="13" t="s">
        <v>176</v>
      </c>
      <c r="F192" s="29">
        <f>IF((Input!D61*Input!F61*Input!H61)/27&gt;1000, 2*(Input!D61+Input!F61)*1.75,(Input!D61*Input!F61*Input!H61)/27)</f>
        <v>0</v>
      </c>
      <c r="G192" s="29"/>
      <c r="H192" s="90">
        <f t="shared" si="12"/>
        <v>0</v>
      </c>
      <c r="I192" s="30" t="s">
        <v>134</v>
      </c>
      <c r="J192" s="8"/>
      <c r="K192" s="8"/>
      <c r="L192" s="8"/>
      <c r="M192" s="8"/>
      <c r="N192" s="8"/>
      <c r="O192" s="8"/>
      <c r="P192" s="8"/>
      <c r="Q192" s="8"/>
      <c r="R192" s="8"/>
    </row>
    <row r="193" spans="1:18">
      <c r="A193" s="18"/>
      <c r="B193" s="25">
        <f>Input!D62*Input!F62/43560</f>
        <v>0</v>
      </c>
      <c r="C193" s="13"/>
      <c r="D193" s="13"/>
      <c r="E193" s="13" t="s">
        <v>313</v>
      </c>
      <c r="F193" s="29">
        <f>IF((Input!D62*Input!F62*Input!H62)/27&gt;1000, 2*(Input!D62+Input!F62)*1.75,(Input!D62*Input!F62*Input!H62)/27)</f>
        <v>0</v>
      </c>
      <c r="G193" s="29"/>
      <c r="H193" s="90">
        <f t="shared" si="12"/>
        <v>0</v>
      </c>
      <c r="I193" s="30" t="s">
        <v>134</v>
      </c>
      <c r="J193" s="8"/>
      <c r="K193" s="8"/>
      <c r="L193" s="8"/>
      <c r="M193" s="8"/>
      <c r="N193" s="8"/>
      <c r="O193" s="8"/>
      <c r="P193" s="8"/>
      <c r="Q193" s="8"/>
      <c r="R193" s="8"/>
    </row>
    <row r="194" spans="1:18">
      <c r="A194" s="18"/>
      <c r="B194" s="25">
        <f>Input!D63*Input!F63/43560</f>
        <v>0</v>
      </c>
      <c r="C194" s="13"/>
      <c r="D194" s="13"/>
      <c r="E194" s="15" t="s">
        <v>314</v>
      </c>
      <c r="F194" s="29">
        <f>IF((Input!D63*Input!F63*Input!H63)/27&gt;1000, 2*(Input!D63+Input!F63)*1.75,(Input!D63*Input!F63*Input!H63)/27)</f>
        <v>0</v>
      </c>
      <c r="G194" s="29"/>
      <c r="H194" s="90">
        <f t="shared" si="12"/>
        <v>0</v>
      </c>
      <c r="I194" s="30" t="s">
        <v>134</v>
      </c>
      <c r="J194" s="8"/>
      <c r="K194" s="8"/>
      <c r="L194" s="8"/>
      <c r="M194" s="8"/>
      <c r="N194" s="8"/>
      <c r="O194" s="8"/>
      <c r="P194" s="8"/>
      <c r="Q194" s="8"/>
      <c r="R194" s="8"/>
    </row>
    <row r="195" spans="1:18">
      <c r="A195" s="18"/>
      <c r="B195" s="25">
        <f>Input!D64*Input!F64/43560</f>
        <v>0</v>
      </c>
      <c r="C195" s="13"/>
      <c r="D195" s="13"/>
      <c r="E195" s="15" t="s">
        <v>315</v>
      </c>
      <c r="F195" s="29">
        <f>IF((Input!D64*Input!F64*Input!H64)/27&gt;1000, 2*(Input!D64+Input!F64)*1.75,(Input!D64*Input!F64*Input!H64)/27)</f>
        <v>0</v>
      </c>
      <c r="G195" s="29"/>
      <c r="H195" s="90">
        <f t="shared" si="12"/>
        <v>0</v>
      </c>
      <c r="I195" s="30" t="s">
        <v>134</v>
      </c>
      <c r="J195" s="8"/>
      <c r="K195" s="8"/>
      <c r="L195" s="8"/>
      <c r="M195" s="8"/>
      <c r="N195" s="8"/>
      <c r="O195" s="8"/>
      <c r="P195" s="8"/>
      <c r="Q195" s="8"/>
      <c r="R195" s="8"/>
    </row>
    <row r="196" spans="1:18">
      <c r="A196" s="18"/>
      <c r="B196" s="25">
        <f>Input!D65*Input!F65/43560</f>
        <v>0</v>
      </c>
      <c r="C196" s="13"/>
      <c r="D196" s="13"/>
      <c r="E196" s="15" t="s">
        <v>316</v>
      </c>
      <c r="F196" s="29">
        <f>IF((Input!D65*Input!F65*Input!H65)/27&gt;1000, 2*(Input!D65+Input!F65)*1.75,(Input!D65*Input!F65*Input!H65)/27)</f>
        <v>0</v>
      </c>
      <c r="G196" s="29"/>
      <c r="H196" s="90">
        <f t="shared" si="12"/>
        <v>0</v>
      </c>
      <c r="I196" s="30" t="s">
        <v>134</v>
      </c>
      <c r="J196" s="8"/>
      <c r="K196" s="8"/>
      <c r="L196" s="8"/>
      <c r="M196" s="8"/>
      <c r="N196" s="8"/>
      <c r="O196" s="8"/>
      <c r="P196" s="8"/>
      <c r="Q196" s="8"/>
      <c r="R196" s="8"/>
    </row>
    <row r="197" spans="1:18">
      <c r="A197" s="18"/>
      <c r="B197" s="25">
        <f>Input!D66*Input!F66/43560</f>
        <v>0</v>
      </c>
      <c r="C197" s="13"/>
      <c r="D197" s="13"/>
      <c r="E197" s="15" t="s">
        <v>317</v>
      </c>
      <c r="F197" s="29">
        <f>IF((Input!D66*Input!F66*Input!H66)/27&gt;1000, 2*(Input!D66+Input!F66)*1.75,(Input!D66*Input!F66*Input!H66)/27)</f>
        <v>0</v>
      </c>
      <c r="G197" s="29"/>
      <c r="H197" s="90">
        <f t="shared" si="12"/>
        <v>0</v>
      </c>
      <c r="I197" s="30" t="s">
        <v>134</v>
      </c>
      <c r="J197" s="8"/>
      <c r="K197" s="8"/>
      <c r="L197" s="8"/>
      <c r="M197" s="8"/>
      <c r="N197" s="8"/>
      <c r="O197" s="8"/>
      <c r="P197" s="8"/>
      <c r="Q197" s="8"/>
      <c r="R197" s="8"/>
    </row>
    <row r="198" spans="1:18">
      <c r="A198" s="18"/>
      <c r="B198" s="25">
        <f>Input!D67*Input!F67/43560</f>
        <v>0</v>
      </c>
      <c r="C198" s="13"/>
      <c r="D198" s="13"/>
      <c r="E198" s="15" t="s">
        <v>318</v>
      </c>
      <c r="F198" s="29">
        <f>IF((Input!D67*Input!F67*Input!H67)/27&gt;1000, 2*(Input!D67+Input!F67)*1.75,(Input!D67*Input!F67*Input!H67)/27)</f>
        <v>0</v>
      </c>
      <c r="G198" s="29"/>
      <c r="H198" s="90">
        <f t="shared" si="12"/>
        <v>0</v>
      </c>
      <c r="I198" s="30" t="s">
        <v>134</v>
      </c>
      <c r="J198" s="8"/>
      <c r="K198" s="8"/>
      <c r="L198" s="8"/>
      <c r="M198" s="8"/>
      <c r="N198" s="8"/>
      <c r="O198" s="8"/>
      <c r="P198" s="8"/>
      <c r="Q198" s="8"/>
      <c r="R198" s="8"/>
    </row>
    <row r="199" spans="1:18">
      <c r="A199" s="18"/>
      <c r="B199" s="25">
        <f>Input!D68*Input!F68/43560</f>
        <v>0</v>
      </c>
      <c r="C199" s="13"/>
      <c r="D199" s="13"/>
      <c r="E199" s="15" t="s">
        <v>319</v>
      </c>
      <c r="F199" s="29">
        <f>IF((Input!D68*Input!F68*Input!H68)/27&gt;1000, 2*(Input!D68+Input!F68)*1.75,(Input!D68*Input!F68*Input!H68)/27)</f>
        <v>0</v>
      </c>
      <c r="G199" s="29"/>
      <c r="H199" s="90">
        <f t="shared" si="12"/>
        <v>0</v>
      </c>
      <c r="I199" s="30" t="s">
        <v>134</v>
      </c>
      <c r="J199" s="8"/>
      <c r="K199" s="8"/>
      <c r="L199" s="8"/>
      <c r="M199" s="8"/>
      <c r="N199" s="8"/>
      <c r="O199" s="8"/>
      <c r="P199" s="8"/>
      <c r="Q199" s="8"/>
      <c r="R199" s="8"/>
    </row>
    <row r="200" spans="1:18">
      <c r="A200" s="18"/>
      <c r="B200" s="25"/>
      <c r="C200" s="13"/>
      <c r="D200" s="13"/>
      <c r="E200" s="15"/>
      <c r="F200" s="29"/>
      <c r="G200" s="29"/>
      <c r="H200" s="90">
        <f>SUM(H190:H199)</f>
        <v>0</v>
      </c>
      <c r="I200" s="30" t="s">
        <v>389</v>
      </c>
      <c r="J200" s="8"/>
      <c r="K200" s="8"/>
      <c r="L200" s="8"/>
      <c r="M200" s="8"/>
      <c r="N200" s="8"/>
      <c r="O200" s="8"/>
      <c r="P200" s="8"/>
      <c r="Q200" s="8"/>
      <c r="R200" s="8"/>
    </row>
    <row r="201" spans="1:18">
      <c r="A201" s="12"/>
      <c r="B201" s="25"/>
      <c r="C201" s="13"/>
      <c r="D201" s="13"/>
      <c r="E201" s="13"/>
      <c r="F201" s="29" t="s">
        <v>185</v>
      </c>
      <c r="G201" s="13"/>
      <c r="H201" s="90"/>
      <c r="I201" s="30"/>
      <c r="J201" s="8"/>
      <c r="K201" s="8"/>
      <c r="L201" s="8" t="s">
        <v>28</v>
      </c>
      <c r="M201" s="8"/>
      <c r="N201" s="8"/>
      <c r="O201" s="8"/>
      <c r="P201" s="8"/>
      <c r="Q201" s="8"/>
      <c r="R201" s="8"/>
    </row>
    <row r="202" spans="1:18">
      <c r="A202" s="87" t="s">
        <v>416</v>
      </c>
      <c r="B202" s="88">
        <f>(Input!D70*Input!F70*3)/43560</f>
        <v>0</v>
      </c>
      <c r="C202" s="15">
        <v>280</v>
      </c>
      <c r="D202" s="15" t="s">
        <v>71</v>
      </c>
      <c r="E202" s="15" t="s">
        <v>418</v>
      </c>
      <c r="F202" s="89">
        <f>(Input!D70*Input!F70^2)*0.127/27</f>
        <v>0</v>
      </c>
      <c r="G202" s="15"/>
      <c r="H202" s="90">
        <f>F202/C$202</f>
        <v>0</v>
      </c>
      <c r="I202" s="62"/>
      <c r="J202" s="8"/>
      <c r="K202" s="8"/>
      <c r="L202" s="8"/>
      <c r="M202" s="8"/>
      <c r="N202" s="8"/>
      <c r="O202" s="8"/>
      <c r="P202" s="8"/>
      <c r="Q202" s="8"/>
      <c r="R202" s="8"/>
    </row>
    <row r="203" spans="1:18">
      <c r="A203" s="92" t="s">
        <v>494</v>
      </c>
      <c r="B203" s="88">
        <f>(Input!D71*Input!F71*3)/43560</f>
        <v>0</v>
      </c>
      <c r="C203" s="15"/>
      <c r="D203" s="15"/>
      <c r="E203" s="15" t="s">
        <v>419</v>
      </c>
      <c r="F203" s="89">
        <f>(Input!D71*Input!F71^2)*0.127/27</f>
        <v>0</v>
      </c>
      <c r="G203" s="15"/>
      <c r="H203" s="90">
        <f>F203/C$202</f>
        <v>0</v>
      </c>
      <c r="I203" s="62"/>
      <c r="J203" s="8"/>
      <c r="K203" s="8"/>
      <c r="L203" s="8"/>
      <c r="M203" s="8"/>
      <c r="N203" s="8"/>
      <c r="O203" s="8"/>
      <c r="P203" s="8"/>
      <c r="Q203" s="8"/>
      <c r="R203" s="8"/>
    </row>
    <row r="204" spans="1:18">
      <c r="A204" s="92"/>
      <c r="B204" s="88">
        <f>(Input!D72*Input!F72*3)/43560</f>
        <v>0</v>
      </c>
      <c r="C204" s="15"/>
      <c r="D204" s="15"/>
      <c r="E204" s="15" t="s">
        <v>420</v>
      </c>
      <c r="F204" s="89">
        <f>(Input!D72*Input!F72^2)*0.127/27</f>
        <v>0</v>
      </c>
      <c r="G204" s="15"/>
      <c r="H204" s="90">
        <f>F204/C$202</f>
        <v>0</v>
      </c>
      <c r="I204" s="62"/>
      <c r="J204" s="8"/>
      <c r="K204" s="8"/>
      <c r="L204" s="8"/>
      <c r="M204" s="8"/>
      <c r="N204" s="8"/>
      <c r="O204" s="8"/>
      <c r="P204" s="8"/>
      <c r="Q204" s="8"/>
      <c r="R204" s="8"/>
    </row>
    <row r="205" spans="1:18">
      <c r="A205" s="92"/>
      <c r="B205" s="88">
        <f>(Input!D73*Input!F73*3)/43560</f>
        <v>0</v>
      </c>
      <c r="C205" s="15"/>
      <c r="D205" s="15"/>
      <c r="E205" s="15" t="s">
        <v>421</v>
      </c>
      <c r="F205" s="89">
        <f>(Input!D73*Input!F73^2)*0.127/27</f>
        <v>0</v>
      </c>
      <c r="G205" s="15"/>
      <c r="H205" s="90">
        <f>F205/C$202</f>
        <v>0</v>
      </c>
      <c r="I205" s="62"/>
      <c r="J205" s="8"/>
      <c r="K205" s="8"/>
      <c r="L205" s="8"/>
      <c r="M205" s="8"/>
      <c r="N205" s="8"/>
      <c r="O205" s="8"/>
      <c r="P205" s="8"/>
      <c r="Q205" s="8"/>
      <c r="R205" s="8"/>
    </row>
    <row r="206" spans="1:18">
      <c r="A206" s="92"/>
      <c r="B206" s="88"/>
      <c r="C206" s="15"/>
      <c r="D206" s="15"/>
      <c r="E206" s="15"/>
      <c r="F206" s="89">
        <f>SUM(F202:F205)</f>
        <v>0</v>
      </c>
      <c r="G206" s="15"/>
      <c r="H206" s="89">
        <f>SUM(H202:H205)</f>
        <v>0</v>
      </c>
      <c r="I206" s="132" t="s">
        <v>388</v>
      </c>
      <c r="J206" s="8"/>
      <c r="K206" s="8"/>
      <c r="L206" s="8"/>
      <c r="M206" s="8"/>
      <c r="N206" s="8"/>
      <c r="O206" s="8"/>
      <c r="P206" s="8"/>
      <c r="Q206" s="8"/>
      <c r="R206" s="8"/>
    </row>
    <row r="207" spans="1:18">
      <c r="A207" s="12"/>
      <c r="B207" s="25"/>
      <c r="C207" s="13"/>
      <c r="D207" s="13"/>
      <c r="E207" s="13"/>
      <c r="F207" s="29"/>
      <c r="G207" s="13"/>
      <c r="H207" s="90"/>
      <c r="I207" s="30"/>
      <c r="J207" s="8"/>
      <c r="K207" s="8"/>
      <c r="L207" s="8"/>
      <c r="M207" s="8"/>
      <c r="N207" s="8"/>
      <c r="O207" s="8"/>
      <c r="P207" s="8"/>
      <c r="Q207" s="8"/>
      <c r="R207" s="8"/>
    </row>
    <row r="208" spans="1:18">
      <c r="A208" s="47" t="s">
        <v>81</v>
      </c>
      <c r="B208" s="25">
        <f>Input!D75*Input!F75/43560</f>
        <v>0</v>
      </c>
      <c r="C208" s="13">
        <v>237</v>
      </c>
      <c r="D208" s="13" t="s">
        <v>82</v>
      </c>
      <c r="E208" s="13" t="s">
        <v>177</v>
      </c>
      <c r="F208" s="29">
        <f>Input!D75*Input!F75*Input!H75/27</f>
        <v>0</v>
      </c>
      <c r="G208" s="29"/>
      <c r="H208" s="90">
        <f>F208/$C$208</f>
        <v>0</v>
      </c>
      <c r="I208" s="30" t="s">
        <v>134</v>
      </c>
      <c r="J208" s="8"/>
      <c r="K208" s="8"/>
      <c r="L208" s="8"/>
      <c r="M208" s="8"/>
      <c r="N208" s="8"/>
      <c r="O208" s="8"/>
      <c r="P208" s="8"/>
      <c r="Q208" s="8"/>
      <c r="R208" s="8"/>
    </row>
    <row r="209" spans="1:18">
      <c r="A209" s="18" t="s">
        <v>376</v>
      </c>
      <c r="B209" s="25">
        <f>Input!D76*Input!F76/43560</f>
        <v>0</v>
      </c>
      <c r="C209" s="13"/>
      <c r="D209" s="13"/>
      <c r="E209" s="13" t="s">
        <v>178</v>
      </c>
      <c r="F209" s="29">
        <f>Input!D76*Input!F76*Input!H76/27</f>
        <v>0</v>
      </c>
      <c r="G209" s="29"/>
      <c r="H209" s="90">
        <f t="shared" ref="H209:H215" si="13">F209/$C$208</f>
        <v>0</v>
      </c>
      <c r="I209" s="30" t="s">
        <v>134</v>
      </c>
      <c r="J209" s="8"/>
      <c r="K209" s="8"/>
      <c r="L209" s="8"/>
      <c r="M209" s="8"/>
      <c r="N209" s="8"/>
      <c r="O209" s="8"/>
      <c r="P209" s="8"/>
      <c r="Q209" s="8"/>
      <c r="R209" s="8"/>
    </row>
    <row r="210" spans="1:18">
      <c r="A210" s="12"/>
      <c r="B210" s="25">
        <f>Input!D77*Input!F77/43560</f>
        <v>0</v>
      </c>
      <c r="C210" s="13"/>
      <c r="D210" s="13"/>
      <c r="E210" s="13" t="s">
        <v>179</v>
      </c>
      <c r="F210" s="29">
        <f>Input!D77*Input!F77*Input!H77/27</f>
        <v>0</v>
      </c>
      <c r="G210" s="29"/>
      <c r="H210" s="90">
        <f t="shared" si="13"/>
        <v>0</v>
      </c>
      <c r="I210" s="30" t="s">
        <v>134</v>
      </c>
      <c r="J210" s="8"/>
      <c r="K210" s="8"/>
      <c r="L210" s="8"/>
      <c r="M210" s="8"/>
      <c r="N210" s="8"/>
      <c r="O210" s="8"/>
      <c r="P210" s="8"/>
      <c r="Q210" s="8"/>
      <c r="R210" s="8"/>
    </row>
    <row r="211" spans="1:18">
      <c r="A211" s="12"/>
      <c r="B211" s="25">
        <f>Input!D78*Input!F78/43560</f>
        <v>0</v>
      </c>
      <c r="C211" s="13"/>
      <c r="D211" s="13"/>
      <c r="E211" s="13" t="s">
        <v>320</v>
      </c>
      <c r="F211" s="29">
        <f>Input!D78*Input!F78*Input!H78/27</f>
        <v>0</v>
      </c>
      <c r="G211" s="29"/>
      <c r="H211" s="90">
        <f t="shared" si="13"/>
        <v>0</v>
      </c>
      <c r="I211" s="30" t="s">
        <v>134</v>
      </c>
      <c r="J211" s="8"/>
      <c r="K211" s="8"/>
      <c r="L211" s="8"/>
      <c r="M211" s="8"/>
      <c r="N211" s="8"/>
      <c r="O211" s="8"/>
      <c r="P211" s="8"/>
      <c r="Q211" s="8"/>
      <c r="R211" s="8"/>
    </row>
    <row r="212" spans="1:18">
      <c r="A212" s="12"/>
      <c r="B212" s="25">
        <f>Input!D79*Input!F79/43560</f>
        <v>0</v>
      </c>
      <c r="C212" s="13"/>
      <c r="D212" s="13"/>
      <c r="E212" s="13" t="s">
        <v>321</v>
      </c>
      <c r="F212" s="29">
        <f>Input!D79*Input!F79*Input!H79/27</f>
        <v>0</v>
      </c>
      <c r="G212" s="29"/>
      <c r="H212" s="90">
        <f t="shared" si="13"/>
        <v>0</v>
      </c>
      <c r="I212" s="30" t="s">
        <v>134</v>
      </c>
      <c r="J212" s="8"/>
      <c r="K212" s="8"/>
      <c r="L212" s="8"/>
      <c r="M212" s="8"/>
      <c r="N212" s="8"/>
      <c r="O212" s="8"/>
      <c r="P212" s="8"/>
      <c r="Q212" s="8"/>
      <c r="R212" s="8"/>
    </row>
    <row r="213" spans="1:18">
      <c r="A213" s="12"/>
      <c r="B213" s="25">
        <f>Input!D80*Input!F80/43560</f>
        <v>0</v>
      </c>
      <c r="C213" s="13"/>
      <c r="D213" s="13"/>
      <c r="E213" s="13" t="s">
        <v>322</v>
      </c>
      <c r="F213" s="29">
        <f>Input!D80*Input!F80*Input!H80/27</f>
        <v>0</v>
      </c>
      <c r="G213" s="29"/>
      <c r="H213" s="90">
        <f t="shared" si="13"/>
        <v>0</v>
      </c>
      <c r="I213" s="30" t="s">
        <v>134</v>
      </c>
      <c r="J213" s="8"/>
      <c r="K213" s="8"/>
      <c r="L213" s="8"/>
      <c r="M213" s="8"/>
      <c r="N213" s="8"/>
      <c r="O213" s="8"/>
      <c r="P213" s="8"/>
      <c r="Q213" s="8"/>
      <c r="R213" s="8"/>
    </row>
    <row r="214" spans="1:18">
      <c r="A214" s="12"/>
      <c r="B214" s="25">
        <f>Input!D81*Input!F81/43560</f>
        <v>0</v>
      </c>
      <c r="C214" s="13"/>
      <c r="D214" s="13"/>
      <c r="E214" s="13" t="s">
        <v>323</v>
      </c>
      <c r="F214" s="29">
        <f>Input!D81*Input!F81*Input!H81/27</f>
        <v>0</v>
      </c>
      <c r="G214" s="29"/>
      <c r="H214" s="90">
        <f t="shared" si="13"/>
        <v>0</v>
      </c>
      <c r="I214" s="30" t="s">
        <v>134</v>
      </c>
      <c r="J214" s="8"/>
      <c r="K214" s="8"/>
      <c r="L214" s="8"/>
      <c r="M214" s="8"/>
      <c r="N214" s="8"/>
      <c r="O214" s="8"/>
      <c r="P214" s="8"/>
      <c r="Q214" s="8"/>
      <c r="R214" s="8"/>
    </row>
    <row r="215" spans="1:18">
      <c r="A215" s="12"/>
      <c r="B215" s="25">
        <f>Input!D82*Input!F82/43560</f>
        <v>0</v>
      </c>
      <c r="C215" s="13"/>
      <c r="D215" s="13"/>
      <c r="E215" s="13" t="s">
        <v>324</v>
      </c>
      <c r="F215" s="29">
        <f>Input!D82*Input!F82*Input!H82/27</f>
        <v>0</v>
      </c>
      <c r="G215" s="29"/>
      <c r="H215" s="90">
        <f t="shared" si="13"/>
        <v>0</v>
      </c>
      <c r="I215" s="30" t="s">
        <v>134</v>
      </c>
      <c r="J215" s="8"/>
      <c r="K215" s="8"/>
      <c r="L215" s="8"/>
      <c r="M215" s="8"/>
      <c r="N215" s="8"/>
      <c r="O215" s="8"/>
      <c r="P215" s="8"/>
      <c r="Q215" s="8"/>
      <c r="R215" s="8"/>
    </row>
    <row r="216" spans="1:18">
      <c r="A216" s="12"/>
      <c r="B216" s="25">
        <f>Input!D83*Input!F83/43560</f>
        <v>0</v>
      </c>
      <c r="C216" s="13"/>
      <c r="D216" s="13"/>
      <c r="E216" s="13" t="s">
        <v>325</v>
      </c>
      <c r="F216" s="29">
        <f>Input!D83*Input!F83*Input!H83/27</f>
        <v>0</v>
      </c>
      <c r="G216" s="29"/>
      <c r="H216" s="90">
        <f>F216/$C$208</f>
        <v>0</v>
      </c>
      <c r="I216" s="30" t="s">
        <v>134</v>
      </c>
      <c r="J216" s="8"/>
      <c r="K216" s="8"/>
      <c r="L216" s="8"/>
      <c r="M216" s="8"/>
      <c r="N216" s="8"/>
      <c r="O216" s="8"/>
      <c r="P216" s="8"/>
      <c r="Q216" s="8"/>
      <c r="R216" s="8"/>
    </row>
    <row r="217" spans="1:18">
      <c r="A217" s="12"/>
      <c r="B217" s="25">
        <f>Input!D84*Input!F84/43560</f>
        <v>0</v>
      </c>
      <c r="C217" s="13"/>
      <c r="D217" s="13"/>
      <c r="E217" s="15" t="s">
        <v>326</v>
      </c>
      <c r="F217" s="29">
        <f>Input!D84*Input!F84*Input!H84/27</f>
        <v>0</v>
      </c>
      <c r="G217" s="29"/>
      <c r="H217" s="90">
        <f>F217/$C$208</f>
        <v>0</v>
      </c>
      <c r="I217" s="30" t="s">
        <v>134</v>
      </c>
      <c r="J217" s="8"/>
      <c r="K217" s="8"/>
      <c r="L217" s="8"/>
      <c r="M217" s="8"/>
      <c r="N217" s="8"/>
      <c r="O217" s="8"/>
      <c r="P217" s="8"/>
      <c r="Q217" s="8"/>
      <c r="R217" s="8"/>
    </row>
    <row r="218" spans="1:18">
      <c r="A218" s="12"/>
      <c r="B218" s="25"/>
      <c r="C218" s="13"/>
      <c r="D218" s="13"/>
      <c r="E218" s="15"/>
      <c r="F218" s="29"/>
      <c r="G218" s="29"/>
      <c r="H218" s="90">
        <f>ROUNDUP(SUM(H208:H217),0)</f>
        <v>0</v>
      </c>
      <c r="I218" s="30" t="s">
        <v>389</v>
      </c>
      <c r="J218" s="8"/>
      <c r="K218" s="8"/>
      <c r="L218" s="8"/>
      <c r="M218" s="8"/>
      <c r="N218" s="8"/>
      <c r="O218" s="8"/>
      <c r="P218" s="8"/>
      <c r="Q218" s="8"/>
      <c r="R218" s="8"/>
    </row>
    <row r="219" spans="1:18">
      <c r="A219" s="47" t="s">
        <v>2</v>
      </c>
      <c r="B219" s="25"/>
      <c r="C219" s="13"/>
      <c r="D219" s="13"/>
      <c r="E219" s="13"/>
      <c r="F219" s="29"/>
      <c r="G219" s="29"/>
      <c r="H219" s="167"/>
      <c r="I219" s="36"/>
      <c r="J219" s="6"/>
      <c r="K219" s="6"/>
    </row>
    <row r="220" spans="1:18">
      <c r="A220" s="18" t="s">
        <v>196</v>
      </c>
      <c r="B220" s="25"/>
      <c r="C220" s="13">
        <v>16</v>
      </c>
      <c r="D220" s="13" t="s">
        <v>394</v>
      </c>
      <c r="E220" s="13"/>
      <c r="F220" s="29"/>
      <c r="G220" s="29"/>
      <c r="H220" s="90">
        <f>Input!D86*C220*Calculations!$E$90</f>
        <v>0</v>
      </c>
      <c r="I220" s="30" t="s">
        <v>159</v>
      </c>
      <c r="J220" s="8"/>
      <c r="K220" s="8"/>
      <c r="L220" s="8"/>
      <c r="M220" s="8"/>
      <c r="N220" s="8"/>
      <c r="O220" s="8"/>
    </row>
    <row r="221" spans="1:18">
      <c r="A221" s="18" t="s">
        <v>195</v>
      </c>
      <c r="B221" s="25"/>
      <c r="C221" s="54">
        <v>240</v>
      </c>
      <c r="D221" s="13" t="s">
        <v>227</v>
      </c>
      <c r="E221" s="13"/>
      <c r="F221" s="29" t="s">
        <v>395</v>
      </c>
      <c r="G221" s="29"/>
      <c r="H221" s="90">
        <f>Input!D86*C221</f>
        <v>0</v>
      </c>
      <c r="I221" s="30" t="s">
        <v>159</v>
      </c>
      <c r="J221" s="8"/>
      <c r="K221" s="8"/>
      <c r="L221" s="8"/>
      <c r="M221" s="8"/>
      <c r="N221" s="8"/>
      <c r="O221" s="8"/>
    </row>
    <row r="222" spans="1:18">
      <c r="A222" s="18" t="s">
        <v>481</v>
      </c>
      <c r="B222" s="25"/>
      <c r="C222" s="13">
        <v>12</v>
      </c>
      <c r="D222" s="13" t="s">
        <v>82</v>
      </c>
      <c r="E222" s="13"/>
      <c r="F222" s="29">
        <v>76</v>
      </c>
      <c r="G222" s="29"/>
      <c r="H222" s="90">
        <f>ROUNDUP(Input!D86*F222/C222,0)</f>
        <v>0</v>
      </c>
      <c r="I222" s="30" t="s">
        <v>134</v>
      </c>
      <c r="J222" s="8"/>
    </row>
    <row r="223" spans="1:18">
      <c r="A223" s="12"/>
      <c r="B223" s="25"/>
      <c r="C223" s="13"/>
      <c r="D223" s="13"/>
      <c r="E223" s="13"/>
      <c r="F223" s="29"/>
      <c r="G223" s="29"/>
      <c r="H223" s="90"/>
      <c r="I223" s="30"/>
      <c r="J223" s="8"/>
      <c r="K223" s="8"/>
      <c r="L223" s="8"/>
      <c r="M223" s="8"/>
      <c r="N223" s="8"/>
      <c r="O223" s="8"/>
      <c r="P223" s="8"/>
      <c r="Q223" s="8"/>
      <c r="R223" s="8"/>
    </row>
    <row r="224" spans="1:18">
      <c r="A224" s="47" t="s">
        <v>83</v>
      </c>
      <c r="B224" s="25"/>
      <c r="C224" s="13"/>
      <c r="D224" s="13"/>
      <c r="E224" s="13"/>
      <c r="F224" s="13" t="s">
        <v>291</v>
      </c>
      <c r="G224" s="29"/>
      <c r="H224" s="90"/>
      <c r="I224" s="30"/>
      <c r="J224" s="8"/>
      <c r="K224" s="8"/>
      <c r="L224" s="8"/>
      <c r="M224" s="8"/>
      <c r="N224" s="8"/>
      <c r="O224" s="8"/>
      <c r="P224" s="8"/>
      <c r="Q224" s="8"/>
      <c r="R224" s="8"/>
    </row>
    <row r="225" spans="1:18">
      <c r="A225" s="46" t="s">
        <v>504</v>
      </c>
      <c r="B225" s="25"/>
      <c r="C225" s="13">
        <v>4</v>
      </c>
      <c r="D225" s="13" t="s">
        <v>78</v>
      </c>
      <c r="E225" s="13"/>
      <c r="F225" s="29">
        <f>IF(F226&gt;0,1,0)+IF(F227&gt;0,1,0)</f>
        <v>0</v>
      </c>
      <c r="G225" s="29"/>
      <c r="H225" s="90">
        <f>ROUNDUP(C225*Calculations!$E$91,0)*F225</f>
        <v>0</v>
      </c>
      <c r="I225" s="30" t="s">
        <v>159</v>
      </c>
      <c r="J225" s="8"/>
      <c r="K225" s="8"/>
      <c r="L225" s="8"/>
      <c r="M225" s="8"/>
      <c r="N225" s="8"/>
      <c r="O225" s="8"/>
      <c r="P225" s="8"/>
      <c r="Q225" s="8"/>
    </row>
    <row r="226" spans="1:18">
      <c r="A226" s="18" t="s">
        <v>376</v>
      </c>
      <c r="B226" s="25">
        <f>Input!D88*Input!F88/43560</f>
        <v>0</v>
      </c>
      <c r="C226" s="13">
        <v>237</v>
      </c>
      <c r="D226" s="13" t="s">
        <v>71</v>
      </c>
      <c r="E226" s="13" t="s">
        <v>180</v>
      </c>
      <c r="F226" s="29">
        <f>(Input!D88*Input!F88*Input!H88)/27</f>
        <v>0</v>
      </c>
      <c r="G226" s="29"/>
      <c r="H226" s="90">
        <f>ROUNDUP(F226/$C$226,0)</f>
        <v>0</v>
      </c>
      <c r="I226" s="30" t="s">
        <v>134</v>
      </c>
      <c r="J226" s="8"/>
      <c r="K226" s="8"/>
      <c r="L226" s="8"/>
      <c r="M226" s="8"/>
      <c r="N226" s="8"/>
      <c r="O226" s="8"/>
      <c r="P226" s="8"/>
      <c r="Q226" s="8"/>
      <c r="R226" s="8"/>
    </row>
    <row r="227" spans="1:18">
      <c r="A227" s="12"/>
      <c r="B227" s="25">
        <f>Input!D89*Input!F89/43560</f>
        <v>0</v>
      </c>
      <c r="C227" s="13"/>
      <c r="D227" s="13"/>
      <c r="E227" s="13" t="s">
        <v>181</v>
      </c>
      <c r="F227" s="29">
        <f>(Input!D89*Input!F89*Input!H89)/27</f>
        <v>0</v>
      </c>
      <c r="G227" s="29"/>
      <c r="H227" s="90">
        <f>ROUNDUP(F227/$C$226,0)</f>
        <v>0</v>
      </c>
      <c r="I227" s="30" t="s">
        <v>134</v>
      </c>
      <c r="J227" s="8"/>
      <c r="K227" s="8"/>
      <c r="L227" s="8"/>
      <c r="M227" s="8"/>
      <c r="N227" s="8"/>
      <c r="O227" s="8"/>
      <c r="P227" s="8"/>
      <c r="Q227" s="8"/>
      <c r="R227" s="8"/>
    </row>
    <row r="228" spans="1:18">
      <c r="A228" s="12"/>
      <c r="B228" s="25"/>
      <c r="C228" s="13"/>
      <c r="D228" s="13"/>
      <c r="E228" s="13"/>
      <c r="F228" s="29"/>
      <c r="G228" s="29"/>
      <c r="H228" s="90"/>
      <c r="I228" s="30"/>
      <c r="J228" s="8"/>
      <c r="K228" s="8"/>
      <c r="L228" s="8"/>
      <c r="M228" s="8"/>
      <c r="N228" s="8"/>
      <c r="O228" s="8"/>
      <c r="P228" s="8"/>
      <c r="Q228" s="8"/>
      <c r="R228" s="8"/>
    </row>
    <row r="229" spans="1:18">
      <c r="A229" s="47" t="s">
        <v>27</v>
      </c>
      <c r="B229" s="25">
        <f>((Input!D92*Input!F92)+Input!H92*(Input!D92+Input!F92)*2)/43560</f>
        <v>0</v>
      </c>
      <c r="C229" s="13"/>
      <c r="D229" s="13"/>
      <c r="E229" s="13"/>
      <c r="F229" s="29" t="s">
        <v>185</v>
      </c>
      <c r="G229" s="29"/>
      <c r="H229" s="90"/>
      <c r="I229" s="30"/>
      <c r="J229" s="8"/>
      <c r="K229" s="8"/>
      <c r="L229" s="8"/>
      <c r="M229" s="8"/>
      <c r="N229" s="8"/>
      <c r="O229" s="8"/>
      <c r="P229" s="8"/>
      <c r="Q229" s="8"/>
      <c r="R229" s="8"/>
    </row>
    <row r="230" spans="1:18">
      <c r="A230" s="18" t="s">
        <v>355</v>
      </c>
      <c r="B230" s="25"/>
      <c r="C230" s="13">
        <v>280</v>
      </c>
      <c r="D230" s="13" t="s">
        <v>71</v>
      </c>
      <c r="E230" s="13"/>
      <c r="F230" s="29">
        <f>IF(Input!H92&lt;45,0.0875*(Input!H92)^2*(Input!D92+2*(Input!F92)),1.6*(0.0875*(Input!H92^2*(Input!D92+2*(Input!F92)))))/27</f>
        <v>0</v>
      </c>
      <c r="G230" s="29"/>
      <c r="H230" s="90">
        <f>F230/$C$230</f>
        <v>0</v>
      </c>
      <c r="I230" s="30" t="s">
        <v>134</v>
      </c>
      <c r="J230" s="8"/>
      <c r="K230" s="8"/>
      <c r="L230" s="8"/>
      <c r="M230" s="8"/>
      <c r="N230" s="8"/>
      <c r="O230" s="8"/>
      <c r="P230" s="8"/>
      <c r="Q230" s="8"/>
      <c r="R230" s="8"/>
    </row>
    <row r="231" spans="1:18">
      <c r="A231" s="38" t="s">
        <v>402</v>
      </c>
      <c r="B231" s="25"/>
      <c r="C231" s="13">
        <v>153</v>
      </c>
      <c r="D231" s="13" t="s">
        <v>71</v>
      </c>
      <c r="E231" s="13"/>
      <c r="F231" s="29">
        <f>(B229*43560*1.7)/27</f>
        <v>0</v>
      </c>
      <c r="G231" s="13"/>
      <c r="H231" s="90">
        <f>F231/C231</f>
        <v>0</v>
      </c>
      <c r="I231" s="30" t="s">
        <v>134</v>
      </c>
      <c r="J231" s="8"/>
      <c r="K231" s="8"/>
      <c r="L231" s="8"/>
      <c r="M231" s="8"/>
      <c r="N231" s="8"/>
      <c r="O231" s="8"/>
      <c r="P231" s="8"/>
      <c r="Q231" s="8"/>
      <c r="R231" s="8"/>
    </row>
    <row r="232" spans="1:18">
      <c r="A232" s="38" t="s">
        <v>495</v>
      </c>
      <c r="B232" s="25"/>
      <c r="C232" s="13">
        <f>C231</f>
        <v>153</v>
      </c>
      <c r="D232" s="13" t="s">
        <v>71</v>
      </c>
      <c r="E232" s="13"/>
      <c r="F232" s="29">
        <f>F231</f>
        <v>0</v>
      </c>
      <c r="G232" s="29"/>
      <c r="H232" s="90">
        <f>F232/$C$232</f>
        <v>0</v>
      </c>
      <c r="I232" s="30" t="s">
        <v>134</v>
      </c>
      <c r="J232" s="8"/>
    </row>
    <row r="233" spans="1:18">
      <c r="A233" s="38" t="s">
        <v>378</v>
      </c>
      <c r="B233" s="25"/>
      <c r="C233" s="13">
        <v>280</v>
      </c>
      <c r="D233" s="13" t="s">
        <v>71</v>
      </c>
      <c r="E233" s="13"/>
      <c r="F233" s="29">
        <f>F231</f>
        <v>0</v>
      </c>
      <c r="G233" s="29"/>
      <c r="H233" s="90">
        <f>F233/C233</f>
        <v>0</v>
      </c>
      <c r="I233" s="30" t="s">
        <v>134</v>
      </c>
      <c r="J233" s="8"/>
      <c r="K233" s="8"/>
      <c r="L233" s="8"/>
      <c r="M233" s="8"/>
      <c r="N233" s="8"/>
      <c r="O233" s="8"/>
      <c r="P233" s="8"/>
      <c r="Q233" s="8"/>
      <c r="R233" s="8"/>
    </row>
    <row r="234" spans="1:18">
      <c r="A234" s="12"/>
      <c r="B234" s="25"/>
      <c r="C234" s="13"/>
      <c r="D234" s="13"/>
      <c r="E234" s="13"/>
      <c r="F234" s="13"/>
      <c r="G234" s="29"/>
      <c r="H234" s="90"/>
      <c r="I234" s="30"/>
      <c r="J234" s="8"/>
      <c r="K234" s="8"/>
      <c r="L234" s="8"/>
      <c r="M234" s="8"/>
      <c r="N234" s="8"/>
      <c r="O234" s="8"/>
      <c r="P234" s="8"/>
      <c r="Q234" s="8"/>
      <c r="R234" s="8"/>
    </row>
    <row r="235" spans="1:18">
      <c r="A235" s="87" t="s">
        <v>456</v>
      </c>
      <c r="B235" s="88"/>
      <c r="C235" s="93"/>
      <c r="D235" s="15"/>
      <c r="E235" s="13"/>
      <c r="F235" s="29" t="s">
        <v>328</v>
      </c>
      <c r="G235" s="29"/>
      <c r="H235" s="15"/>
      <c r="I235" s="30"/>
      <c r="J235" s="8"/>
      <c r="K235" s="8"/>
      <c r="L235" s="8"/>
      <c r="M235" s="8"/>
      <c r="N235" s="8"/>
      <c r="O235" s="8"/>
      <c r="P235" s="8"/>
      <c r="Q235" s="8"/>
    </row>
    <row r="236" spans="1:18">
      <c r="A236" s="95" t="s">
        <v>454</v>
      </c>
      <c r="B236" s="88"/>
      <c r="C236" s="93">
        <f>B102</f>
        <v>2500</v>
      </c>
      <c r="D236" s="15"/>
      <c r="E236" s="13"/>
      <c r="F236" s="29"/>
      <c r="G236" s="29"/>
      <c r="H236" s="90"/>
      <c r="I236" s="30"/>
      <c r="J236" s="8"/>
      <c r="K236" s="8"/>
      <c r="L236" s="8"/>
      <c r="M236" s="8"/>
      <c r="N236" s="8"/>
      <c r="O236" s="8"/>
      <c r="P236" s="8"/>
      <c r="Q236" s="8"/>
    </row>
    <row r="237" spans="1:18">
      <c r="A237" s="92" t="s">
        <v>455</v>
      </c>
      <c r="B237" s="88"/>
      <c r="C237" s="93">
        <f>B103</f>
        <v>20</v>
      </c>
      <c r="D237" s="15"/>
      <c r="E237" s="13"/>
      <c r="F237" s="29">
        <f>Input!D96</f>
        <v>0</v>
      </c>
      <c r="G237" s="29"/>
      <c r="H237" s="90">
        <f>IF(F237&gt;0,C236+(C237*F237),0)</f>
        <v>0</v>
      </c>
      <c r="I237" s="30" t="s">
        <v>159</v>
      </c>
      <c r="J237" s="8"/>
      <c r="K237" s="8"/>
      <c r="L237" s="8"/>
      <c r="M237" s="8"/>
      <c r="N237" s="8"/>
      <c r="O237" s="8"/>
      <c r="P237" s="8"/>
      <c r="Q237" s="8"/>
      <c r="R237" s="8"/>
    </row>
    <row r="238" spans="1:18">
      <c r="A238" s="92"/>
      <c r="B238" s="88"/>
      <c r="C238" s="15"/>
      <c r="D238" s="15"/>
      <c r="E238" s="13"/>
      <c r="F238" s="13"/>
      <c r="G238" s="29"/>
      <c r="H238" s="90"/>
      <c r="I238" s="30"/>
      <c r="J238" s="8"/>
      <c r="K238" s="8"/>
      <c r="L238" s="8"/>
      <c r="M238" s="8"/>
      <c r="N238" s="8"/>
      <c r="O238" s="8"/>
      <c r="P238" s="8"/>
      <c r="Q238" s="8"/>
      <c r="R238" s="8"/>
    </row>
    <row r="239" spans="1:18">
      <c r="A239" s="96" t="s">
        <v>457</v>
      </c>
      <c r="B239" s="88"/>
      <c r="C239" s="15"/>
      <c r="D239" s="15"/>
      <c r="E239" s="13"/>
      <c r="F239" s="29" t="s">
        <v>328</v>
      </c>
      <c r="G239" s="29"/>
      <c r="H239" s="90"/>
      <c r="I239" s="30"/>
      <c r="J239" s="8"/>
      <c r="K239" s="8"/>
      <c r="L239" s="8"/>
      <c r="M239" s="8"/>
      <c r="N239" s="8"/>
      <c r="O239" s="8"/>
      <c r="P239" s="8"/>
      <c r="Q239" s="8"/>
      <c r="R239" s="8"/>
    </row>
    <row r="240" spans="1:18">
      <c r="A240" s="91" t="s">
        <v>452</v>
      </c>
      <c r="B240" s="88"/>
      <c r="C240" s="93">
        <f>B104</f>
        <v>2000</v>
      </c>
      <c r="D240" s="15" t="s">
        <v>448</v>
      </c>
      <c r="E240" s="69"/>
      <c r="F240" s="29"/>
      <c r="G240" s="13"/>
      <c r="H240" s="90"/>
      <c r="I240" s="30"/>
      <c r="J240" s="8"/>
      <c r="K240" s="8"/>
      <c r="L240" s="8"/>
      <c r="M240" s="8"/>
      <c r="N240" s="8"/>
      <c r="O240" s="8"/>
      <c r="P240" s="8"/>
      <c r="Q240" s="8"/>
      <c r="R240" s="8"/>
    </row>
    <row r="241" spans="1:18">
      <c r="A241" s="91" t="s">
        <v>453</v>
      </c>
      <c r="B241" s="88"/>
      <c r="C241" s="93">
        <f>B105</f>
        <v>2</v>
      </c>
      <c r="D241" s="15" t="s">
        <v>329</v>
      </c>
      <c r="E241" s="69"/>
      <c r="F241" s="29">
        <f>Input!D98</f>
        <v>0</v>
      </c>
      <c r="G241" s="13"/>
      <c r="H241" s="90">
        <f>IF(F241&gt;0,C240+(C241*F241),0)</f>
        <v>0</v>
      </c>
      <c r="I241" s="30" t="s">
        <v>159</v>
      </c>
      <c r="J241" s="8"/>
      <c r="K241" s="8"/>
      <c r="L241" s="8"/>
      <c r="M241" s="8"/>
      <c r="N241" s="8"/>
      <c r="O241" s="8"/>
      <c r="P241" s="8"/>
      <c r="Q241" s="8"/>
      <c r="R241" s="8"/>
    </row>
    <row r="242" spans="1:18">
      <c r="A242" s="91"/>
      <c r="B242" s="88"/>
      <c r="C242" s="93"/>
      <c r="D242" s="15"/>
      <c r="E242" s="13"/>
      <c r="F242" s="29"/>
      <c r="G242" s="29"/>
      <c r="H242" s="90"/>
      <c r="I242" s="30"/>
      <c r="J242" s="8"/>
      <c r="K242" s="8"/>
      <c r="L242" s="8"/>
      <c r="M242" s="8"/>
      <c r="N242" s="8"/>
      <c r="O242" s="8"/>
      <c r="P242" s="8"/>
      <c r="Q242" s="8"/>
      <c r="R242" s="8"/>
    </row>
    <row r="243" spans="1:18">
      <c r="A243" s="48" t="s">
        <v>34</v>
      </c>
      <c r="B243" s="25"/>
      <c r="C243" s="13"/>
      <c r="D243" s="13"/>
      <c r="E243" s="13"/>
      <c r="F243" s="29" t="s">
        <v>185</v>
      </c>
      <c r="G243" s="29"/>
      <c r="H243" s="134"/>
      <c r="I243" s="30"/>
      <c r="J243" s="8"/>
      <c r="K243" s="8"/>
      <c r="L243" s="8"/>
      <c r="M243" s="8"/>
      <c r="N243" s="8"/>
      <c r="O243" s="8"/>
      <c r="P243" s="8"/>
      <c r="Q243" s="8"/>
      <c r="R243" s="8"/>
    </row>
    <row r="244" spans="1:18">
      <c r="A244" s="91" t="s">
        <v>564</v>
      </c>
      <c r="B244" s="25"/>
      <c r="C244" s="13">
        <v>30</v>
      </c>
      <c r="D244" s="13" t="s">
        <v>71</v>
      </c>
      <c r="E244" s="13"/>
      <c r="F244" s="29">
        <f>Input!D100</f>
        <v>0</v>
      </c>
      <c r="G244" s="29"/>
      <c r="H244" s="135">
        <f>F244/C244</f>
        <v>0</v>
      </c>
      <c r="I244" s="30" t="s">
        <v>134</v>
      </c>
      <c r="J244" s="8"/>
    </row>
    <row r="245" spans="1:18">
      <c r="A245" s="91" t="s">
        <v>478</v>
      </c>
      <c r="B245" s="25"/>
      <c r="C245" s="13"/>
      <c r="D245" s="13"/>
      <c r="E245" s="13"/>
      <c r="F245" s="29"/>
      <c r="G245" s="29"/>
      <c r="H245" s="135"/>
      <c r="I245" s="30"/>
      <c r="J245" s="8"/>
    </row>
    <row r="246" spans="1:18">
      <c r="A246" s="91" t="s">
        <v>565</v>
      </c>
      <c r="B246" s="25"/>
      <c r="C246" s="15">
        <v>20</v>
      </c>
      <c r="D246" s="13" t="s">
        <v>71</v>
      </c>
      <c r="E246" s="13"/>
      <c r="F246" s="29">
        <f>Input!D101</f>
        <v>0</v>
      </c>
      <c r="G246" s="29"/>
      <c r="H246" s="135">
        <f>F246/C246</f>
        <v>0</v>
      </c>
      <c r="I246" s="30" t="s">
        <v>134</v>
      </c>
      <c r="J246" s="8"/>
    </row>
    <row r="247" spans="1:18">
      <c r="A247" s="91" t="s">
        <v>478</v>
      </c>
      <c r="B247" s="25"/>
      <c r="C247" s="15"/>
      <c r="D247" s="13"/>
      <c r="E247" s="13"/>
      <c r="F247" s="29"/>
      <c r="G247" s="29"/>
      <c r="H247" s="135"/>
      <c r="I247" s="30"/>
      <c r="J247" s="8"/>
    </row>
    <row r="248" spans="1:18">
      <c r="A248" s="91" t="s">
        <v>566</v>
      </c>
      <c r="B248" s="25"/>
      <c r="C248" s="15">
        <v>15</v>
      </c>
      <c r="D248" s="13" t="s">
        <v>71</v>
      </c>
      <c r="E248" s="13"/>
      <c r="F248" s="29">
        <f>Input!D103</f>
        <v>0</v>
      </c>
      <c r="G248" s="29"/>
      <c r="H248" s="135">
        <f>F248/C248</f>
        <v>0</v>
      </c>
      <c r="I248" s="30" t="s">
        <v>134</v>
      </c>
      <c r="J248" s="8"/>
      <c r="K248" s="8"/>
      <c r="L248" s="8"/>
      <c r="M248" s="8"/>
      <c r="N248" s="8"/>
      <c r="O248" s="8"/>
      <c r="P248" s="8"/>
      <c r="Q248" s="8"/>
      <c r="R248" s="8"/>
    </row>
    <row r="249" spans="1:18">
      <c r="A249" s="91" t="s">
        <v>478</v>
      </c>
      <c r="B249" s="25"/>
      <c r="C249" s="15"/>
      <c r="D249" s="13"/>
      <c r="E249" s="13"/>
      <c r="F249" s="29"/>
      <c r="G249" s="29"/>
      <c r="H249" s="135"/>
      <c r="I249" s="30"/>
      <c r="J249" s="8"/>
      <c r="K249" s="8"/>
      <c r="L249" s="8"/>
      <c r="M249" s="8"/>
      <c r="N249" s="8"/>
      <c r="O249" s="8"/>
      <c r="P249" s="8"/>
      <c r="Q249" s="8"/>
      <c r="R249" s="8"/>
    </row>
    <row r="250" spans="1:18">
      <c r="A250" s="18" t="s">
        <v>379</v>
      </c>
      <c r="B250" s="25"/>
      <c r="C250" s="29">
        <v>100</v>
      </c>
      <c r="D250" s="13" t="s">
        <v>71</v>
      </c>
      <c r="E250" s="13"/>
      <c r="F250" s="29">
        <f>F244+F246+F248</f>
        <v>0</v>
      </c>
      <c r="G250" s="29"/>
      <c r="H250" s="135">
        <f>F250/C250</f>
        <v>0</v>
      </c>
      <c r="I250" s="30" t="s">
        <v>134</v>
      </c>
      <c r="J250" s="8"/>
      <c r="K250" s="8"/>
      <c r="L250" s="8"/>
      <c r="M250" s="8"/>
      <c r="N250" s="8"/>
      <c r="O250" s="8"/>
      <c r="P250" s="8"/>
      <c r="Q250" s="8"/>
      <c r="R250" s="8"/>
    </row>
    <row r="251" spans="1:18">
      <c r="A251" s="18" t="s">
        <v>380</v>
      </c>
      <c r="B251" s="25"/>
      <c r="C251" s="29">
        <v>150</v>
      </c>
      <c r="D251" s="13" t="s">
        <v>71</v>
      </c>
      <c r="E251" s="13"/>
      <c r="F251" s="29">
        <f>F250</f>
        <v>0</v>
      </c>
      <c r="G251" s="29"/>
      <c r="H251" s="136">
        <f>F251/C251</f>
        <v>0</v>
      </c>
      <c r="I251" s="30" t="s">
        <v>311</v>
      </c>
      <c r="J251" s="8"/>
      <c r="K251" s="8"/>
      <c r="L251" s="8"/>
      <c r="M251" s="8"/>
      <c r="N251" s="8"/>
      <c r="O251" s="8"/>
      <c r="P251" s="8"/>
      <c r="Q251" s="8"/>
      <c r="R251" s="8"/>
    </row>
    <row r="252" spans="1:18">
      <c r="A252" s="12"/>
      <c r="B252" s="13"/>
      <c r="C252" s="13"/>
      <c r="D252" s="13"/>
      <c r="E252" s="13"/>
      <c r="F252" s="13" t="s">
        <v>65</v>
      </c>
      <c r="G252" s="13"/>
      <c r="H252" s="90">
        <f>ROUNDUP(SUM(H244:H251),0)</f>
        <v>0</v>
      </c>
      <c r="I252" s="30" t="s">
        <v>389</v>
      </c>
      <c r="J252" s="8"/>
      <c r="K252" s="8"/>
      <c r="L252" s="8"/>
      <c r="M252" s="8"/>
      <c r="N252" s="8"/>
      <c r="O252" s="8"/>
      <c r="P252" s="8"/>
      <c r="Q252" s="8"/>
      <c r="R252" s="8"/>
    </row>
    <row r="253" spans="1:18">
      <c r="A253" s="12" t="s">
        <v>496</v>
      </c>
      <c r="B253" s="13"/>
      <c r="C253" s="13"/>
      <c r="D253" s="13"/>
      <c r="E253" s="13"/>
      <c r="F253" s="13"/>
      <c r="G253" s="13"/>
      <c r="H253" s="90">
        <f>H244+H246+H248</f>
        <v>0</v>
      </c>
      <c r="I253" s="30" t="s">
        <v>572</v>
      </c>
      <c r="J253" s="8"/>
      <c r="K253" s="8"/>
      <c r="L253" s="8"/>
      <c r="M253" s="8"/>
      <c r="N253" s="8"/>
      <c r="O253" s="8"/>
      <c r="P253" s="8"/>
      <c r="Q253" s="8"/>
      <c r="R253" s="8"/>
    </row>
    <row r="254" spans="1:18">
      <c r="A254" s="18" t="s">
        <v>343</v>
      </c>
      <c r="B254" s="25"/>
      <c r="C254" s="60">
        <v>20</v>
      </c>
      <c r="D254" s="15" t="s">
        <v>73</v>
      </c>
      <c r="E254" s="13"/>
      <c r="F254" s="29">
        <f>Input!D101+Input!D103</f>
        <v>0</v>
      </c>
      <c r="G254" s="29"/>
      <c r="H254" s="90">
        <f>F254*C254</f>
        <v>0</v>
      </c>
      <c r="I254" s="30" t="s">
        <v>159</v>
      </c>
      <c r="J254" s="8"/>
      <c r="K254" s="8"/>
      <c r="L254" s="8"/>
      <c r="M254" s="8"/>
      <c r="N254" s="8"/>
      <c r="O254" s="8"/>
      <c r="P254" s="8"/>
      <c r="Q254" s="8"/>
      <c r="R254" s="8"/>
    </row>
    <row r="255" spans="1:18">
      <c r="A255" s="46" t="s">
        <v>502</v>
      </c>
      <c r="B255" s="25"/>
      <c r="C255" s="60"/>
      <c r="D255" s="15"/>
      <c r="E255" s="13"/>
      <c r="F255" s="29"/>
      <c r="G255" s="29"/>
      <c r="H255" s="90">
        <f>(H244+H246+H248)*E91</f>
        <v>0</v>
      </c>
      <c r="I255" s="131" t="s">
        <v>159</v>
      </c>
      <c r="J255" s="8"/>
      <c r="K255" s="8"/>
      <c r="L255" s="8"/>
      <c r="M255" s="8"/>
      <c r="N255" s="8"/>
      <c r="O255" s="8"/>
      <c r="P255" s="8"/>
      <c r="Q255" s="8"/>
      <c r="R255" s="8"/>
    </row>
    <row r="256" spans="1:18">
      <c r="A256" s="12"/>
      <c r="B256" s="25"/>
      <c r="C256" s="13"/>
      <c r="D256" s="13"/>
      <c r="E256" s="13"/>
      <c r="F256" s="13" t="s">
        <v>139</v>
      </c>
      <c r="G256" s="29"/>
      <c r="H256" s="90"/>
      <c r="I256" s="30"/>
      <c r="J256" s="8"/>
      <c r="K256" s="8"/>
      <c r="L256" s="8"/>
      <c r="M256" s="8"/>
      <c r="N256" s="8"/>
      <c r="O256" s="8"/>
      <c r="P256" s="8"/>
      <c r="Q256" s="8"/>
      <c r="R256" s="8"/>
    </row>
    <row r="257" spans="1:18">
      <c r="A257" s="18" t="s">
        <v>443</v>
      </c>
      <c r="B257" s="25"/>
      <c r="C257" s="25">
        <f>B97</f>
        <v>0.15</v>
      </c>
      <c r="D257" s="13" t="s">
        <v>85</v>
      </c>
      <c r="E257" s="13"/>
      <c r="F257" s="29">
        <f>F251*2</f>
        <v>0</v>
      </c>
      <c r="G257" s="29"/>
      <c r="H257" s="90">
        <f>F257*Input!D149*C257</f>
        <v>0</v>
      </c>
      <c r="I257" s="30" t="s">
        <v>159</v>
      </c>
      <c r="J257" s="8"/>
      <c r="K257" s="8"/>
      <c r="L257" s="8"/>
      <c r="M257" s="8"/>
      <c r="N257" s="8"/>
      <c r="O257" s="8"/>
      <c r="P257" s="8"/>
      <c r="Q257" s="8"/>
    </row>
    <row r="258" spans="1:18">
      <c r="A258" s="18" t="s">
        <v>87</v>
      </c>
      <c r="B258" s="25"/>
      <c r="C258" s="54">
        <f>B99</f>
        <v>32.5</v>
      </c>
      <c r="D258" s="13" t="s">
        <v>86</v>
      </c>
      <c r="E258" s="13"/>
      <c r="F258" s="29">
        <f>F257</f>
        <v>0</v>
      </c>
      <c r="G258" s="29"/>
      <c r="H258" s="90">
        <f>F258*C258</f>
        <v>0</v>
      </c>
      <c r="I258" s="30" t="s">
        <v>159</v>
      </c>
      <c r="J258" s="8"/>
      <c r="K258" s="8"/>
      <c r="L258" s="8"/>
      <c r="M258" s="8"/>
      <c r="N258" s="8"/>
      <c r="O258" s="8"/>
      <c r="P258" s="8"/>
      <c r="Q258" s="8"/>
    </row>
    <row r="259" spans="1:18">
      <c r="A259" s="12"/>
      <c r="B259" s="25"/>
      <c r="C259" s="13"/>
      <c r="D259" s="13"/>
      <c r="E259" s="13"/>
      <c r="F259" s="29"/>
      <c r="G259" s="29"/>
      <c r="H259" s="90"/>
      <c r="I259" s="30"/>
      <c r="J259" s="8"/>
      <c r="K259" s="8"/>
      <c r="L259" s="8"/>
      <c r="M259" s="8"/>
      <c r="N259" s="8"/>
      <c r="O259" s="8"/>
      <c r="P259" s="8"/>
      <c r="Q259" s="8"/>
      <c r="R259" s="8"/>
    </row>
    <row r="260" spans="1:18">
      <c r="A260" s="48" t="s">
        <v>29</v>
      </c>
      <c r="B260" s="25">
        <f>Input!D105/43560</f>
        <v>0</v>
      </c>
      <c r="C260" s="13"/>
      <c r="D260" s="13"/>
      <c r="E260" s="13"/>
      <c r="F260" s="29" t="s">
        <v>344</v>
      </c>
      <c r="G260" s="29"/>
      <c r="H260" s="90"/>
      <c r="I260" s="30"/>
      <c r="J260" s="8"/>
      <c r="K260" s="8"/>
      <c r="L260" s="8"/>
      <c r="M260" s="8"/>
      <c r="N260" s="8"/>
      <c r="O260" s="8"/>
      <c r="P260" s="8"/>
      <c r="Q260" s="8"/>
      <c r="R260" s="8"/>
    </row>
    <row r="261" spans="1:18">
      <c r="A261" s="18" t="s">
        <v>381</v>
      </c>
      <c r="B261" s="25"/>
      <c r="C261" s="13">
        <v>280</v>
      </c>
      <c r="D261" s="13" t="s">
        <v>497</v>
      </c>
      <c r="E261" s="13"/>
      <c r="F261" s="29">
        <f>(Input!D105*Input!F105/12)/27</f>
        <v>0</v>
      </c>
      <c r="G261" s="29"/>
      <c r="H261" s="90">
        <f>F261/$C$261</f>
        <v>0</v>
      </c>
      <c r="I261" s="30" t="s">
        <v>134</v>
      </c>
      <c r="J261" s="8"/>
      <c r="K261" s="8"/>
      <c r="L261" s="8"/>
      <c r="M261" s="8"/>
      <c r="N261" s="8"/>
      <c r="O261" s="8"/>
      <c r="P261" s="8"/>
      <c r="Q261" s="8"/>
      <c r="R261" s="8"/>
    </row>
    <row r="262" spans="1:18">
      <c r="A262" s="18" t="s">
        <v>382</v>
      </c>
      <c r="B262" s="25"/>
      <c r="C262" s="37">
        <v>200</v>
      </c>
      <c r="D262" s="13" t="s">
        <v>71</v>
      </c>
      <c r="E262" s="13"/>
      <c r="F262" s="29">
        <f>F261</f>
        <v>0</v>
      </c>
      <c r="G262" s="29"/>
      <c r="H262" s="90">
        <f>F262/C262</f>
        <v>0</v>
      </c>
      <c r="I262" s="30" t="s">
        <v>134</v>
      </c>
      <c r="J262" s="8"/>
      <c r="K262" s="8"/>
      <c r="L262" s="8"/>
      <c r="M262" s="8"/>
      <c r="N262" s="8"/>
      <c r="O262" s="8"/>
      <c r="P262" s="8"/>
      <c r="Q262" s="8"/>
      <c r="R262" s="8"/>
    </row>
    <row r="263" spans="1:18">
      <c r="A263" s="18"/>
      <c r="B263" s="25"/>
      <c r="C263" s="37"/>
      <c r="D263" s="13"/>
      <c r="E263" s="13"/>
      <c r="F263" s="29" t="s">
        <v>139</v>
      </c>
      <c r="G263" s="29"/>
      <c r="H263" s="90"/>
      <c r="I263" s="30"/>
      <c r="J263" s="8"/>
      <c r="K263" s="8"/>
      <c r="L263" s="8"/>
      <c r="M263" s="8"/>
      <c r="N263" s="8"/>
      <c r="O263" s="8"/>
      <c r="P263" s="8"/>
      <c r="Q263" s="8"/>
      <c r="R263" s="8"/>
    </row>
    <row r="264" spans="1:18">
      <c r="A264" s="18" t="s">
        <v>396</v>
      </c>
      <c r="B264" s="25"/>
      <c r="C264" s="54">
        <f>B97</f>
        <v>0.15</v>
      </c>
      <c r="D264" s="13" t="s">
        <v>85</v>
      </c>
      <c r="E264" s="13"/>
      <c r="F264" s="29">
        <f>F261*2700/2000</f>
        <v>0</v>
      </c>
      <c r="G264" s="29"/>
      <c r="H264" s="90">
        <f>F264*C264*Input!D149</f>
        <v>0</v>
      </c>
      <c r="I264" s="30" t="s">
        <v>159</v>
      </c>
      <c r="J264" s="8"/>
      <c r="K264" s="8"/>
      <c r="L264" s="8"/>
      <c r="M264" s="8"/>
      <c r="N264" s="8"/>
      <c r="O264" s="8"/>
      <c r="P264" s="8"/>
      <c r="Q264" s="8"/>
    </row>
    <row r="265" spans="1:18">
      <c r="A265" s="18" t="s">
        <v>87</v>
      </c>
      <c r="B265" s="25"/>
      <c r="C265" s="54">
        <f>B99</f>
        <v>32.5</v>
      </c>
      <c r="D265" s="13" t="s">
        <v>86</v>
      </c>
      <c r="E265" s="13"/>
      <c r="F265" s="29">
        <f>F264</f>
        <v>0</v>
      </c>
      <c r="G265" s="29"/>
      <c r="H265" s="90">
        <f>F265*C265</f>
        <v>0</v>
      </c>
      <c r="I265" s="30" t="s">
        <v>159</v>
      </c>
      <c r="J265" s="8"/>
      <c r="K265" s="8"/>
      <c r="L265" s="8"/>
      <c r="M265" s="8"/>
      <c r="N265" s="8"/>
      <c r="O265" s="8"/>
      <c r="P265" s="8"/>
      <c r="Q265" s="8"/>
    </row>
    <row r="266" spans="1:18">
      <c r="A266" s="12"/>
      <c r="B266" s="25"/>
      <c r="C266" s="13"/>
      <c r="D266" s="13"/>
      <c r="E266" s="13"/>
      <c r="F266" s="29"/>
      <c r="G266" s="29"/>
      <c r="H266" s="167"/>
      <c r="I266" s="36"/>
      <c r="J266" s="6"/>
      <c r="K266" s="6"/>
    </row>
    <row r="267" spans="1:18">
      <c r="A267" s="48" t="s">
        <v>4</v>
      </c>
      <c r="B267" s="25">
        <f>(Input!D107*Input!F107+Input!D109*Input!F109+Input!D111*Input!F111)/43560</f>
        <v>0</v>
      </c>
      <c r="C267" s="13"/>
      <c r="D267" s="13"/>
      <c r="E267" s="29" t="s">
        <v>368</v>
      </c>
      <c r="F267" s="13" t="s">
        <v>369</v>
      </c>
      <c r="G267" s="29" t="s">
        <v>370</v>
      </c>
      <c r="H267" s="90"/>
      <c r="I267" s="30"/>
      <c r="J267" s="8"/>
      <c r="K267" s="8"/>
      <c r="L267" s="8"/>
      <c r="M267" s="8"/>
      <c r="N267" s="8"/>
      <c r="O267" s="8"/>
      <c r="P267" s="8"/>
      <c r="Q267" s="8"/>
      <c r="R267" s="8"/>
    </row>
    <row r="268" spans="1:18">
      <c r="A268" s="18" t="s">
        <v>345</v>
      </c>
      <c r="B268" s="25"/>
      <c r="C268" s="13"/>
      <c r="D268" s="13"/>
      <c r="E268" s="13">
        <f>IF(Input!D107*Input!F107*Input!H107&gt;9999,IF(Input!D108="x", Input!D107*Input!F107*Input!H107,0),0)</f>
        <v>0</v>
      </c>
      <c r="F268" s="13">
        <f>IF(Input!D109*Input!F109*Input!H109&gt;9999,IF(Input!D110="x", Input!D109*Input!F109*Input!H109,0),0)</f>
        <v>0</v>
      </c>
      <c r="G268" s="13">
        <f>IF(Input!D111*Input!F111*Input!H111&gt;9999,IF(Input!D112="x", Input!D111*Input!F111*Input!H111,0),0)</f>
        <v>0</v>
      </c>
      <c r="H268" s="90"/>
      <c r="I268" s="30"/>
      <c r="J268" s="8"/>
      <c r="K268" s="8"/>
      <c r="L268" s="8"/>
      <c r="M268" s="8"/>
      <c r="N268" s="8"/>
      <c r="O268" s="8"/>
      <c r="P268" s="8"/>
      <c r="Q268" s="8"/>
      <c r="R268" s="8"/>
    </row>
    <row r="269" spans="1:18">
      <c r="A269" s="18"/>
      <c r="B269" s="25"/>
      <c r="C269" s="13"/>
      <c r="D269" s="13"/>
      <c r="E269" s="13" t="s">
        <v>365</v>
      </c>
      <c r="F269" s="13" t="s">
        <v>366</v>
      </c>
      <c r="G269" s="13" t="s">
        <v>367</v>
      </c>
      <c r="H269" s="90"/>
      <c r="I269" s="30"/>
      <c r="J269" s="8"/>
      <c r="K269" s="8"/>
      <c r="L269" s="8"/>
      <c r="M269" s="8"/>
      <c r="N269" s="8"/>
      <c r="O269" s="8"/>
      <c r="P269" s="8"/>
      <c r="Q269" s="8"/>
      <c r="R269" s="8"/>
    </row>
    <row r="270" spans="1:18">
      <c r="A270" s="18"/>
      <c r="B270" s="25"/>
      <c r="C270" s="13"/>
      <c r="D270" s="13"/>
      <c r="E270" s="13">
        <f>IF(Input!D113*Input!F113*Input!H113&gt;9999,IF(Input!D114="x", Input!D113*Input!F113*Input!H113,0),0)</f>
        <v>0</v>
      </c>
      <c r="F270" s="13">
        <f>IF(Input!D115*Input!F115*Input!H115&gt;9999,IF(Input!D116="x", Input!D115*Input!F115*Input!H115,0),0)</f>
        <v>0</v>
      </c>
      <c r="G270" s="13">
        <f>E268+F268+G268+E270+F270</f>
        <v>0</v>
      </c>
      <c r="H270" s="90"/>
      <c r="I270" s="30"/>
      <c r="J270" s="8"/>
      <c r="K270" s="8"/>
      <c r="L270" s="8"/>
      <c r="M270" s="8"/>
      <c r="N270" s="8"/>
      <c r="O270" s="8"/>
      <c r="P270" s="8"/>
      <c r="Q270" s="8"/>
      <c r="R270" s="8"/>
    </row>
    <row r="271" spans="1:18">
      <c r="A271" s="38" t="s">
        <v>429</v>
      </c>
      <c r="B271" s="25"/>
      <c r="C271" s="13">
        <v>0.4</v>
      </c>
      <c r="D271" s="13" t="s">
        <v>94</v>
      </c>
      <c r="E271" s="13"/>
      <c r="F271" s="29"/>
      <c r="G271" s="29"/>
      <c r="H271" s="90">
        <f>ROUNDUP(G270*C271/1000,0)</f>
        <v>0</v>
      </c>
      <c r="I271" s="30" t="s">
        <v>134</v>
      </c>
      <c r="J271" s="8"/>
    </row>
    <row r="272" spans="1:18">
      <c r="A272" s="86" t="s">
        <v>374</v>
      </c>
      <c r="B272" s="25"/>
      <c r="C272" s="13">
        <v>0.4</v>
      </c>
      <c r="D272" s="13" t="s">
        <v>94</v>
      </c>
      <c r="E272" s="13"/>
      <c r="F272" s="29"/>
      <c r="G272" s="29"/>
      <c r="H272" s="90">
        <f>ROUNDUP(G270*C272/1000,0)</f>
        <v>0</v>
      </c>
      <c r="I272" s="30" t="s">
        <v>134</v>
      </c>
      <c r="J272" s="8"/>
    </row>
    <row r="273" spans="1:18">
      <c r="A273" s="38" t="s">
        <v>430</v>
      </c>
      <c r="B273" s="25"/>
      <c r="C273" s="13">
        <v>0.8</v>
      </c>
      <c r="D273" s="13" t="s">
        <v>94</v>
      </c>
      <c r="E273" s="13"/>
      <c r="F273" s="29"/>
      <c r="G273" s="29"/>
      <c r="H273" s="90">
        <f>ROUNDUP(G270*C273/1000,0)*E90</f>
        <v>0</v>
      </c>
      <c r="I273" s="131" t="s">
        <v>159</v>
      </c>
      <c r="J273" s="8"/>
      <c r="K273" s="8"/>
      <c r="L273" s="8"/>
      <c r="M273" s="8"/>
      <c r="N273" s="8"/>
      <c r="O273" s="8"/>
      <c r="P273" s="8"/>
      <c r="Q273" s="8"/>
      <c r="R273" s="8">
        <f>J273*Calculations!E90</f>
        <v>0</v>
      </c>
    </row>
    <row r="274" spans="1:18">
      <c r="A274" s="61" t="s">
        <v>383</v>
      </c>
      <c r="B274" s="25"/>
      <c r="C274" s="15">
        <v>0.2</v>
      </c>
      <c r="D274" s="13" t="s">
        <v>94</v>
      </c>
      <c r="E274" s="13"/>
      <c r="F274" s="13"/>
      <c r="G274" s="13"/>
      <c r="H274" s="90"/>
      <c r="I274" s="30"/>
      <c r="J274" s="8"/>
      <c r="K274" s="8"/>
      <c r="L274" s="8"/>
      <c r="M274" s="8"/>
      <c r="N274" s="8"/>
      <c r="O274" s="8"/>
      <c r="P274" s="8"/>
      <c r="Q274" s="8"/>
      <c r="R274" s="8"/>
    </row>
    <row r="275" spans="1:18">
      <c r="A275" s="61"/>
      <c r="B275" s="25"/>
      <c r="C275" s="15"/>
      <c r="D275" s="13"/>
      <c r="E275" s="29" t="s">
        <v>368</v>
      </c>
      <c r="F275" s="13" t="s">
        <v>369</v>
      </c>
      <c r="G275" s="29" t="s">
        <v>370</v>
      </c>
      <c r="H275" s="90"/>
      <c r="I275" s="30"/>
      <c r="J275" s="8"/>
      <c r="K275" s="8"/>
      <c r="L275" s="8"/>
      <c r="M275" s="8"/>
      <c r="N275" s="8"/>
      <c r="O275" s="8"/>
      <c r="P275" s="8"/>
      <c r="Q275" s="8"/>
      <c r="R275" s="8"/>
    </row>
    <row r="276" spans="1:18">
      <c r="A276" s="61"/>
      <c r="B276" s="25"/>
      <c r="C276" s="15"/>
      <c r="D276" s="13"/>
      <c r="E276" s="13">
        <f>IF(Input!$D$107*Input!$F$107*Input!$H$107&lt;9999,IF(Input!$D$108="x",Input!D107*Input!F107*Input!H107,0),0)</f>
        <v>0</v>
      </c>
      <c r="F276" s="13">
        <f>IF(Input!$D$109*Input!$F$109*Input!$H$109&lt;9999,IF(Input!$D$110="x",Input!D109*Input!F109*Input!H109,0),0)</f>
        <v>0</v>
      </c>
      <c r="G276" s="13">
        <f>IF(Input!$D$111*Input!$F$111*Input!$H$111&lt;9999,IF(Input!$D$112="x",Input!D111*Input!F111*Input!H111,0),0)</f>
        <v>0</v>
      </c>
      <c r="H276" s="90"/>
      <c r="I276" s="30"/>
      <c r="J276" s="8"/>
      <c r="K276" s="8"/>
      <c r="L276" s="8"/>
      <c r="M276" s="8"/>
      <c r="N276" s="8"/>
      <c r="O276" s="8"/>
      <c r="P276" s="8"/>
      <c r="Q276" s="8"/>
      <c r="R276" s="8"/>
    </row>
    <row r="277" spans="1:18">
      <c r="A277" s="61"/>
      <c r="B277" s="25"/>
      <c r="C277" s="15"/>
      <c r="D277" s="13"/>
      <c r="E277" s="13" t="s">
        <v>365</v>
      </c>
      <c r="F277" s="13" t="s">
        <v>366</v>
      </c>
      <c r="G277" s="13" t="s">
        <v>367</v>
      </c>
      <c r="H277" s="90"/>
      <c r="I277" s="30"/>
      <c r="J277" s="8"/>
      <c r="K277" s="8"/>
      <c r="L277" s="8"/>
      <c r="M277" s="8"/>
      <c r="N277" s="8"/>
      <c r="O277" s="8"/>
      <c r="P277" s="8"/>
      <c r="Q277" s="8"/>
      <c r="R277" s="8"/>
    </row>
    <row r="278" spans="1:18">
      <c r="A278" s="61"/>
      <c r="B278" s="25"/>
      <c r="C278" s="15"/>
      <c r="D278" s="13"/>
      <c r="E278" s="13">
        <f>IF(Input!$D$113*Input!$F$113*Input!$H$113&lt;9999,IF(Input!$D$114="x",Input!D113*Input!F113*Input!H113,0),0)</f>
        <v>0</v>
      </c>
      <c r="F278" s="13">
        <f>IF(Input!$D$115*Input!$F$115*Input!$H$115&lt;9999,IF(Input!$D$116="x",Input!D115*Input!F115*Input!H115,0),0)</f>
        <v>0</v>
      </c>
      <c r="G278" s="29">
        <f>E276+F276+G276+E278+F278</f>
        <v>0</v>
      </c>
      <c r="H278" s="90">
        <f>G278*C274/1000</f>
        <v>0</v>
      </c>
      <c r="I278" s="30" t="s">
        <v>134</v>
      </c>
      <c r="J278" s="8"/>
      <c r="K278" s="8"/>
      <c r="L278" s="8"/>
      <c r="M278" s="8"/>
      <c r="N278" s="8"/>
      <c r="O278" s="8"/>
      <c r="P278" s="8"/>
      <c r="Q278" s="8"/>
      <c r="R278" s="8"/>
    </row>
    <row r="279" spans="1:18">
      <c r="A279" s="18" t="s">
        <v>384</v>
      </c>
      <c r="B279" s="25"/>
      <c r="C279" s="13">
        <v>0.25</v>
      </c>
      <c r="D279" s="13" t="s">
        <v>94</v>
      </c>
      <c r="E279" s="13"/>
      <c r="F279" s="13"/>
      <c r="G279" s="13"/>
      <c r="H279" s="90"/>
      <c r="I279" s="30"/>
      <c r="J279" s="8"/>
      <c r="K279" s="8"/>
      <c r="L279" s="8"/>
      <c r="M279" s="8"/>
      <c r="N279" s="8"/>
      <c r="O279" s="8"/>
      <c r="P279" s="8"/>
      <c r="Q279" s="8"/>
      <c r="R279" s="8"/>
    </row>
    <row r="280" spans="1:18">
      <c r="A280" s="18"/>
      <c r="B280" s="25"/>
      <c r="C280" s="13"/>
      <c r="D280" s="13"/>
      <c r="E280" s="29" t="s">
        <v>368</v>
      </c>
      <c r="F280" s="13" t="s">
        <v>369</v>
      </c>
      <c r="G280" s="29" t="s">
        <v>370</v>
      </c>
      <c r="H280" s="90"/>
      <c r="I280" s="30"/>
      <c r="J280" s="8"/>
      <c r="K280" s="8"/>
      <c r="L280" s="8"/>
      <c r="M280" s="8"/>
      <c r="N280" s="8"/>
      <c r="O280" s="8"/>
      <c r="P280" s="8"/>
      <c r="Q280" s="8"/>
      <c r="R280" s="8"/>
    </row>
    <row r="281" spans="1:18">
      <c r="A281" s="18"/>
      <c r="B281" s="25"/>
      <c r="C281" s="13"/>
      <c r="D281" s="13"/>
      <c r="E281" s="13">
        <f>IF(Input!$F$108="x",Input!$D$107*Input!$F$107*Input!$H$107,0)</f>
        <v>0</v>
      </c>
      <c r="F281" s="13">
        <f>IF(Input!$F110="x",Input!D109*Input!F109*Input!H109,0)</f>
        <v>0</v>
      </c>
      <c r="G281" s="13">
        <f>IF(Input!$F$112="x",Input!$D$111*Input!$F$111*Input!$H$111,0)</f>
        <v>0</v>
      </c>
      <c r="H281" s="90"/>
      <c r="I281" s="30"/>
      <c r="J281" s="8"/>
      <c r="K281" s="8"/>
      <c r="L281" s="8"/>
      <c r="M281" s="8"/>
      <c r="N281" s="8"/>
      <c r="O281" s="8"/>
      <c r="P281" s="8"/>
      <c r="Q281" s="8"/>
      <c r="R281" s="8"/>
    </row>
    <row r="282" spans="1:18">
      <c r="A282" s="18"/>
      <c r="B282" s="25"/>
      <c r="C282" s="13"/>
      <c r="D282" s="13"/>
      <c r="E282" s="13" t="s">
        <v>365</v>
      </c>
      <c r="F282" s="13" t="s">
        <v>366</v>
      </c>
      <c r="G282" s="13" t="s">
        <v>367</v>
      </c>
      <c r="H282" s="90"/>
      <c r="I282" s="30"/>
      <c r="J282" s="8"/>
      <c r="K282" s="8"/>
      <c r="L282" s="8"/>
      <c r="M282" s="8"/>
      <c r="N282" s="8"/>
      <c r="O282" s="8"/>
      <c r="P282" s="8"/>
      <c r="Q282" s="8"/>
      <c r="R282" s="8"/>
    </row>
    <row r="283" spans="1:18">
      <c r="A283" s="18"/>
      <c r="B283" s="25"/>
      <c r="C283" s="13"/>
      <c r="D283" s="13"/>
      <c r="E283" s="13">
        <f>IF(Input!$F$114="x",Input!$D$113*Input!$F$113*Input!$H$113,0)</f>
        <v>0</v>
      </c>
      <c r="F283" s="13">
        <f>IF(Input!F116="x",Input!D115*Input!F115*Input!H115,0)</f>
        <v>0</v>
      </c>
      <c r="G283" s="29">
        <f>E281+F281+G281+E283+F283</f>
        <v>0</v>
      </c>
      <c r="H283" s="90">
        <f>G283*C279/1000</f>
        <v>0</v>
      </c>
      <c r="I283" s="30" t="s">
        <v>134</v>
      </c>
      <c r="J283" s="8"/>
      <c r="K283" s="8"/>
      <c r="L283" s="8"/>
      <c r="M283" s="8"/>
      <c r="N283" s="8"/>
      <c r="O283" s="8"/>
      <c r="P283" s="8"/>
      <c r="Q283" s="8"/>
      <c r="R283" s="8"/>
    </row>
    <row r="284" spans="1:18">
      <c r="A284" s="18" t="s">
        <v>385</v>
      </c>
      <c r="B284" s="25"/>
      <c r="C284" s="13">
        <v>0.2</v>
      </c>
      <c r="D284" s="13" t="s">
        <v>94</v>
      </c>
      <c r="E284" s="13"/>
      <c r="F284" s="13"/>
      <c r="G284" s="13"/>
      <c r="H284" s="15"/>
      <c r="I284" s="14"/>
      <c r="J284" s="8"/>
      <c r="K284" s="8"/>
      <c r="L284" s="8"/>
      <c r="M284" s="8"/>
      <c r="N284" s="8"/>
      <c r="O284" s="8"/>
      <c r="P284" s="8"/>
      <c r="Q284" s="8"/>
      <c r="R284" s="8"/>
    </row>
    <row r="285" spans="1:18">
      <c r="A285" s="18"/>
      <c r="B285" s="25"/>
      <c r="C285" s="13"/>
      <c r="D285" s="13"/>
      <c r="E285" s="29" t="s">
        <v>368</v>
      </c>
      <c r="F285" s="13" t="s">
        <v>369</v>
      </c>
      <c r="G285" s="29" t="s">
        <v>370</v>
      </c>
      <c r="H285" s="90"/>
      <c r="I285" s="30"/>
      <c r="J285" s="8"/>
      <c r="K285" s="8"/>
      <c r="L285" s="8"/>
      <c r="M285" s="8"/>
      <c r="N285" s="8"/>
      <c r="O285" s="8"/>
      <c r="P285" s="8"/>
      <c r="Q285" s="8"/>
      <c r="R285" s="8"/>
    </row>
    <row r="286" spans="1:18">
      <c r="A286" s="18"/>
      <c r="B286" s="25"/>
      <c r="C286" s="13"/>
      <c r="D286" s="13"/>
      <c r="E286" s="13">
        <f>IF(Input!$H$108="x",Input!$D$107*Input!$F$107*Input!$H$107,0)</f>
        <v>0</v>
      </c>
      <c r="F286" s="13">
        <f>IF(Input!$H110="x",Input!D109*Input!F109*Input!H109,0)</f>
        <v>0</v>
      </c>
      <c r="G286" s="13">
        <f>IF(Input!$H$112="x",Input!$D$111*Input!$F$111*Input!$H$111,0)</f>
        <v>0</v>
      </c>
      <c r="H286" s="90"/>
      <c r="I286" s="30"/>
      <c r="J286" s="8"/>
      <c r="K286" s="8"/>
      <c r="L286" s="8"/>
      <c r="M286" s="8"/>
      <c r="N286" s="8"/>
      <c r="O286" s="8"/>
      <c r="P286" s="8"/>
      <c r="Q286" s="8"/>
      <c r="R286" s="8"/>
    </row>
    <row r="287" spans="1:18">
      <c r="A287" s="18"/>
      <c r="B287" s="25"/>
      <c r="C287" s="13"/>
      <c r="D287" s="13"/>
      <c r="E287" s="13" t="s">
        <v>365</v>
      </c>
      <c r="F287" s="13" t="s">
        <v>366</v>
      </c>
      <c r="G287" s="13" t="s">
        <v>367</v>
      </c>
      <c r="H287" s="90"/>
      <c r="I287" s="30"/>
      <c r="J287" s="8"/>
      <c r="K287" s="8"/>
      <c r="L287" s="8"/>
      <c r="M287" s="8"/>
      <c r="N287" s="8"/>
      <c r="O287" s="8"/>
      <c r="P287" s="8"/>
      <c r="Q287" s="8"/>
      <c r="R287" s="8"/>
    </row>
    <row r="288" spans="1:18">
      <c r="A288" s="18"/>
      <c r="B288" s="25"/>
      <c r="C288" s="13"/>
      <c r="D288" s="13"/>
      <c r="E288" s="13">
        <f>IF(Input!$H$114="x",Input!$D$113*Input!$F$113*Input!$H$113,0)</f>
        <v>0</v>
      </c>
      <c r="F288" s="13">
        <f>IF(Input!H121="x",Input!D120*Input!F120*Input!H120,0)</f>
        <v>0</v>
      </c>
      <c r="G288" s="29">
        <f>E286+F286+G286+E288+F288</f>
        <v>0</v>
      </c>
      <c r="H288" s="90">
        <f>C284*G288/1000</f>
        <v>0</v>
      </c>
      <c r="I288" s="30" t="s">
        <v>134</v>
      </c>
      <c r="J288" s="8"/>
      <c r="K288" s="8"/>
      <c r="L288" s="8"/>
      <c r="M288" s="8"/>
      <c r="N288" s="8"/>
      <c r="O288" s="8"/>
      <c r="P288" s="8"/>
      <c r="Q288" s="8"/>
      <c r="R288" s="8"/>
    </row>
    <row r="289" spans="1:21">
      <c r="A289" s="18" t="s">
        <v>386</v>
      </c>
      <c r="B289" s="25"/>
      <c r="C289" s="13">
        <v>0.1</v>
      </c>
      <c r="D289" s="13" t="s">
        <v>94</v>
      </c>
      <c r="E289" s="13"/>
      <c r="F289" s="29"/>
      <c r="G289" s="29"/>
      <c r="H289" s="90">
        <f>(G288+G283)*C289/1000</f>
        <v>0</v>
      </c>
      <c r="I289" s="30" t="s">
        <v>134</v>
      </c>
      <c r="J289" s="8"/>
      <c r="K289" s="8"/>
      <c r="L289" s="8"/>
      <c r="M289" s="8"/>
      <c r="N289" s="8"/>
      <c r="O289" s="8"/>
      <c r="P289" s="8"/>
      <c r="Q289" s="8"/>
      <c r="R289" s="8"/>
    </row>
    <row r="290" spans="1:21">
      <c r="A290" s="12"/>
      <c r="B290" s="13"/>
      <c r="C290" s="13"/>
      <c r="D290" s="13"/>
      <c r="E290" s="13"/>
      <c r="F290" s="13" t="s">
        <v>65</v>
      </c>
      <c r="G290" s="13"/>
      <c r="H290" s="90">
        <f>SUM(H278:H289)</f>
        <v>0</v>
      </c>
      <c r="I290" s="62" t="s">
        <v>389</v>
      </c>
      <c r="J290" s="8"/>
      <c r="K290" s="8"/>
      <c r="L290" s="8"/>
      <c r="M290" s="8"/>
      <c r="N290" s="8"/>
      <c r="O290" s="8"/>
      <c r="P290" s="8"/>
      <c r="Q290" s="8"/>
      <c r="R290" s="8"/>
    </row>
    <row r="291" spans="1:21">
      <c r="A291" s="18" t="s">
        <v>569</v>
      </c>
      <c r="B291" s="25"/>
      <c r="C291" s="13">
        <v>0.08</v>
      </c>
      <c r="D291" s="13" t="s">
        <v>94</v>
      </c>
      <c r="E291" s="13"/>
      <c r="F291" s="13"/>
      <c r="G291" s="13"/>
      <c r="H291" s="90">
        <f>ROUNDUP((G270+G278)*C291/1000,0)</f>
        <v>0</v>
      </c>
      <c r="I291" s="30" t="s">
        <v>134</v>
      </c>
      <c r="J291" s="8"/>
      <c r="K291" s="8"/>
      <c r="L291" s="8"/>
      <c r="M291" s="8"/>
      <c r="N291" s="8"/>
      <c r="O291" s="8"/>
      <c r="P291" s="8"/>
      <c r="Q291" s="8"/>
      <c r="R291" s="8"/>
    </row>
    <row r="292" spans="1:21">
      <c r="A292" s="12"/>
      <c r="B292" s="25"/>
      <c r="C292" s="13"/>
      <c r="D292" s="13"/>
      <c r="E292" s="13" t="s">
        <v>140</v>
      </c>
      <c r="F292" s="29" t="s">
        <v>141</v>
      </c>
      <c r="G292" s="29" t="s">
        <v>142</v>
      </c>
      <c r="H292" s="90"/>
      <c r="I292" s="30"/>
      <c r="J292" s="8"/>
      <c r="K292" s="8"/>
      <c r="L292" s="8"/>
      <c r="M292" s="8"/>
      <c r="N292" s="8"/>
      <c r="O292" s="8"/>
      <c r="P292" s="8"/>
      <c r="Q292" s="8"/>
      <c r="R292" s="8"/>
    </row>
    <row r="293" spans="1:21">
      <c r="A293" s="18" t="s">
        <v>371</v>
      </c>
      <c r="B293" s="25"/>
      <c r="C293" s="54">
        <f>B97</f>
        <v>0.15</v>
      </c>
      <c r="D293" s="13" t="s">
        <v>85</v>
      </c>
      <c r="E293" s="69">
        <f>(G270+G278)*0.335/1000</f>
        <v>0</v>
      </c>
      <c r="F293" s="69">
        <f>(G283)*0.4/1000</f>
        <v>0</v>
      </c>
      <c r="G293" s="69">
        <f>(G288)*0.2/1000</f>
        <v>0</v>
      </c>
      <c r="H293" s="90">
        <f>(E293+F293+G293)*C293*Input!D149</f>
        <v>0</v>
      </c>
      <c r="I293" s="30" t="s">
        <v>159</v>
      </c>
      <c r="J293" s="8"/>
      <c r="K293" s="8"/>
      <c r="L293" s="8"/>
      <c r="M293" s="8"/>
      <c r="N293" s="8"/>
      <c r="O293" s="8"/>
      <c r="P293" s="8"/>
      <c r="Q293" s="8"/>
    </row>
    <row r="294" spans="1:21">
      <c r="A294" s="18" t="s">
        <v>87</v>
      </c>
      <c r="B294" s="25"/>
      <c r="C294" s="54">
        <f>B99</f>
        <v>32.5</v>
      </c>
      <c r="D294" s="13" t="s">
        <v>96</v>
      </c>
      <c r="E294" s="13"/>
      <c r="F294" s="29"/>
      <c r="G294" s="29"/>
      <c r="H294" s="90">
        <f>(E293+F293+G293)*C294</f>
        <v>0</v>
      </c>
      <c r="I294" s="30" t="s">
        <v>159</v>
      </c>
      <c r="J294" s="8"/>
      <c r="K294" s="8"/>
      <c r="L294" s="8"/>
      <c r="M294" s="8"/>
      <c r="N294" s="8"/>
      <c r="O294" s="8"/>
      <c r="P294" s="8"/>
      <c r="Q294" s="8"/>
    </row>
    <row r="295" spans="1:21">
      <c r="A295" s="12"/>
      <c r="B295" s="25"/>
      <c r="C295" s="13"/>
      <c r="D295" s="13"/>
      <c r="E295" s="13"/>
      <c r="F295" s="29"/>
      <c r="G295" s="29"/>
      <c r="H295" s="90"/>
      <c r="I295" s="30"/>
      <c r="J295" s="8"/>
      <c r="K295" s="8"/>
      <c r="L295" s="8"/>
      <c r="M295" s="8"/>
      <c r="N295" s="8"/>
      <c r="O295" s="8"/>
      <c r="P295" s="8"/>
      <c r="Q295" s="8"/>
      <c r="R295" s="8"/>
    </row>
    <row r="296" spans="1:21">
      <c r="A296" s="47" t="s">
        <v>137</v>
      </c>
      <c r="B296" s="25">
        <f>IF(Input!D118=0,0,Input!D118*320)/43560</f>
        <v>0</v>
      </c>
      <c r="C296" s="13"/>
      <c r="D296" s="13"/>
      <c r="E296" s="13"/>
      <c r="F296" s="29" t="s">
        <v>182</v>
      </c>
      <c r="G296" s="29"/>
      <c r="H296" s="90"/>
      <c r="I296" s="30"/>
      <c r="J296" s="8"/>
      <c r="K296" s="8"/>
      <c r="L296" s="8"/>
      <c r="M296" s="8"/>
      <c r="N296" s="8"/>
      <c r="O296" s="8"/>
      <c r="P296" s="8"/>
      <c r="Q296" s="8"/>
      <c r="R296" s="8"/>
    </row>
    <row r="297" spans="1:21">
      <c r="A297" s="18" t="s">
        <v>560</v>
      </c>
      <c r="B297" s="25"/>
      <c r="C297" s="13">
        <v>1.24</v>
      </c>
      <c r="D297" s="13" t="s">
        <v>143</v>
      </c>
      <c r="E297" s="13"/>
      <c r="F297" s="29">
        <f>Input!D118</f>
        <v>0</v>
      </c>
      <c r="G297" s="29" t="s">
        <v>144</v>
      </c>
      <c r="H297" s="90">
        <f>ROUNDUP(F297*C297,0)</f>
        <v>0</v>
      </c>
      <c r="I297" s="30" t="s">
        <v>134</v>
      </c>
      <c r="J297" s="8"/>
      <c r="K297" s="8"/>
      <c r="L297" s="8"/>
      <c r="M297" s="8"/>
      <c r="N297" s="8"/>
      <c r="O297" s="8"/>
      <c r="P297" s="8"/>
      <c r="Q297" s="8"/>
      <c r="R297" s="8"/>
    </row>
    <row r="298" spans="1:21">
      <c r="A298" s="46" t="s">
        <v>505</v>
      </c>
      <c r="B298" s="25"/>
      <c r="C298" s="54">
        <v>500</v>
      </c>
      <c r="D298" s="13" t="s">
        <v>100</v>
      </c>
      <c r="E298" s="13"/>
      <c r="F298" s="29">
        <f>F297</f>
        <v>0</v>
      </c>
      <c r="G298" s="29"/>
      <c r="H298" s="90">
        <f>C298*F298</f>
        <v>0</v>
      </c>
      <c r="I298" s="30" t="s">
        <v>159</v>
      </c>
      <c r="J298" s="8"/>
      <c r="K298" s="138"/>
      <c r="L298" s="8"/>
      <c r="M298" s="8"/>
      <c r="N298" s="8"/>
      <c r="O298" s="8"/>
      <c r="P298" s="8"/>
      <c r="Q298" s="8"/>
      <c r="R298" s="8"/>
      <c r="S298" s="8"/>
      <c r="T298" s="8"/>
      <c r="U298" s="8"/>
    </row>
    <row r="299" spans="1:21">
      <c r="A299" s="18" t="s">
        <v>93</v>
      </c>
      <c r="B299" s="25"/>
      <c r="C299" s="13">
        <v>0.5</v>
      </c>
      <c r="D299" s="13" t="s">
        <v>143</v>
      </c>
      <c r="E299" s="13"/>
      <c r="F299" s="29">
        <f>F297</f>
        <v>0</v>
      </c>
      <c r="G299" s="29"/>
      <c r="H299" s="90">
        <f>ROUNDUP(F299*C299,0)</f>
        <v>0</v>
      </c>
      <c r="I299" s="30" t="s">
        <v>134</v>
      </c>
      <c r="J299" s="8"/>
      <c r="K299" s="8"/>
      <c r="L299" s="8"/>
      <c r="M299" s="8"/>
      <c r="N299" s="8"/>
      <c r="O299" s="8"/>
      <c r="P299" s="8"/>
      <c r="Q299" s="8"/>
      <c r="R299" s="8"/>
    </row>
    <row r="300" spans="1:21">
      <c r="A300" s="177" t="s">
        <v>197</v>
      </c>
      <c r="B300" s="25"/>
      <c r="C300" s="13">
        <v>1</v>
      </c>
      <c r="D300" s="13" t="s">
        <v>143</v>
      </c>
      <c r="E300" s="13"/>
      <c r="F300" s="29">
        <f>F297</f>
        <v>0</v>
      </c>
      <c r="G300" s="29"/>
      <c r="H300" s="90">
        <f>ROUNDUP(F300*C300,0)*E91</f>
        <v>0</v>
      </c>
      <c r="I300" s="30" t="s">
        <v>159</v>
      </c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</row>
    <row r="301" spans="1:21">
      <c r="A301" s="18" t="s">
        <v>371</v>
      </c>
      <c r="B301" s="25"/>
      <c r="C301" s="54">
        <f>B96</f>
        <v>4</v>
      </c>
      <c r="D301" s="13" t="s">
        <v>98</v>
      </c>
      <c r="E301" s="13"/>
      <c r="F301" s="29">
        <f>F297</f>
        <v>0</v>
      </c>
      <c r="G301" s="29"/>
      <c r="H301" s="90">
        <f>F301*C301*Input!D149</f>
        <v>0</v>
      </c>
      <c r="I301" s="30" t="s">
        <v>159</v>
      </c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</row>
    <row r="302" spans="1:21">
      <c r="A302" s="18" t="s">
        <v>87</v>
      </c>
      <c r="B302" s="25"/>
      <c r="C302" s="54">
        <f>B99</f>
        <v>32.5</v>
      </c>
      <c r="D302" s="13" t="s">
        <v>86</v>
      </c>
      <c r="E302" s="13"/>
      <c r="F302" s="29">
        <f>F297*4</f>
        <v>0</v>
      </c>
      <c r="G302" s="29" t="s">
        <v>139</v>
      </c>
      <c r="H302" s="90">
        <f>F302*C302</f>
        <v>0</v>
      </c>
      <c r="I302" s="30" t="s">
        <v>159</v>
      </c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</row>
    <row r="303" spans="1:21">
      <c r="A303" s="12"/>
      <c r="B303" s="25"/>
      <c r="C303" s="13"/>
      <c r="D303" s="13"/>
      <c r="E303" s="13"/>
      <c r="F303" s="29"/>
      <c r="G303" s="29"/>
      <c r="H303" s="90"/>
      <c r="I303" s="30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</row>
    <row r="304" spans="1:21">
      <c r="A304" s="48" t="s">
        <v>36</v>
      </c>
      <c r="B304" s="25"/>
      <c r="C304" s="13"/>
      <c r="D304" s="13"/>
      <c r="E304" s="13"/>
      <c r="F304" s="29" t="s">
        <v>138</v>
      </c>
      <c r="G304" s="29"/>
      <c r="H304" s="90"/>
      <c r="I304" s="30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</row>
    <row r="305" spans="1:21">
      <c r="A305" s="18" t="s">
        <v>150</v>
      </c>
      <c r="B305" s="25"/>
      <c r="C305" s="54">
        <v>100</v>
      </c>
      <c r="D305" s="13" t="s">
        <v>99</v>
      </c>
      <c r="E305" s="13"/>
      <c r="F305" s="29">
        <f>Input!D120</f>
        <v>0</v>
      </c>
      <c r="G305" s="29"/>
      <c r="H305" s="90">
        <f>F305*C305</f>
        <v>0</v>
      </c>
      <c r="I305" s="30" t="s">
        <v>159</v>
      </c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</row>
    <row r="306" spans="1:21">
      <c r="A306" s="18" t="s">
        <v>198</v>
      </c>
      <c r="B306" s="25"/>
      <c r="C306" s="13">
        <v>3</v>
      </c>
      <c r="D306" s="13" t="s">
        <v>199</v>
      </c>
      <c r="E306" s="13"/>
      <c r="F306" s="125">
        <f>F305</f>
        <v>0</v>
      </c>
      <c r="G306" s="29"/>
      <c r="H306" s="90">
        <f>F306*C306*E91</f>
        <v>0</v>
      </c>
      <c r="I306" s="30" t="s">
        <v>159</v>
      </c>
      <c r="J306" s="8"/>
      <c r="K306" s="8"/>
      <c r="L306" s="8"/>
      <c r="M306" s="8"/>
      <c r="N306" s="8"/>
      <c r="O306" s="8"/>
      <c r="P306" s="8"/>
      <c r="Q306" s="8"/>
    </row>
    <row r="307" spans="1:21">
      <c r="A307" s="18" t="s">
        <v>371</v>
      </c>
      <c r="B307" s="25"/>
      <c r="C307" s="54">
        <f>B96</f>
        <v>4</v>
      </c>
      <c r="D307" s="13" t="s">
        <v>98</v>
      </c>
      <c r="E307" s="13"/>
      <c r="F307" s="29">
        <f>F305</f>
        <v>0</v>
      </c>
      <c r="G307" s="29"/>
      <c r="H307" s="90">
        <f>F307*Input!D149*C307</f>
        <v>0</v>
      </c>
      <c r="I307" s="30" t="s">
        <v>159</v>
      </c>
      <c r="J307" s="8"/>
      <c r="K307" s="8"/>
      <c r="L307" s="8"/>
      <c r="M307" s="8"/>
      <c r="N307" s="8"/>
      <c r="O307" s="8"/>
      <c r="P307" s="8"/>
      <c r="Q307" s="8"/>
    </row>
    <row r="308" spans="1:21">
      <c r="A308" s="18" t="s">
        <v>97</v>
      </c>
      <c r="B308" s="25"/>
      <c r="C308" s="54">
        <f>B108</f>
        <v>260</v>
      </c>
      <c r="D308" s="13" t="s">
        <v>99</v>
      </c>
      <c r="E308" s="13"/>
      <c r="F308" s="29">
        <f>F305</f>
        <v>0</v>
      </c>
      <c r="G308" s="29"/>
      <c r="H308" s="90">
        <f>F308*C308</f>
        <v>0</v>
      </c>
      <c r="I308" s="30" t="s">
        <v>159</v>
      </c>
      <c r="J308" s="8"/>
      <c r="K308" s="8"/>
      <c r="L308" s="8"/>
      <c r="M308" s="8"/>
      <c r="N308" s="8"/>
      <c r="O308" s="8"/>
      <c r="P308" s="8"/>
      <c r="Q308" s="8"/>
    </row>
    <row r="309" spans="1:21">
      <c r="A309" s="12"/>
      <c r="B309" s="25"/>
      <c r="C309" s="13"/>
      <c r="D309" s="13"/>
      <c r="E309" s="13"/>
      <c r="F309" s="29"/>
      <c r="G309" s="29"/>
      <c r="H309" s="90"/>
      <c r="I309" s="30"/>
      <c r="J309" s="8"/>
      <c r="K309" s="8"/>
      <c r="L309" s="8"/>
      <c r="M309" s="8"/>
      <c r="N309" s="8"/>
      <c r="O309" s="8"/>
      <c r="P309" s="8"/>
      <c r="Q309" s="8"/>
      <c r="R309" s="8"/>
    </row>
    <row r="310" spans="1:21">
      <c r="A310" s="47" t="s">
        <v>333</v>
      </c>
      <c r="B310" s="25"/>
      <c r="C310" s="13"/>
      <c r="D310" s="13"/>
      <c r="E310" s="13"/>
      <c r="F310" s="29"/>
      <c r="G310" s="29"/>
      <c r="H310" s="90"/>
      <c r="I310" s="30"/>
      <c r="J310" s="8"/>
      <c r="K310" s="8"/>
      <c r="L310" s="8"/>
      <c r="M310" s="8"/>
      <c r="N310" s="8"/>
      <c r="O310" s="8"/>
      <c r="P310" s="8"/>
      <c r="Q310" s="8"/>
      <c r="R310" s="8"/>
    </row>
    <row r="311" spans="1:21">
      <c r="A311" s="12" t="s">
        <v>335</v>
      </c>
      <c r="B311" s="25"/>
      <c r="C311" s="13"/>
      <c r="D311" s="13"/>
      <c r="E311" s="13"/>
      <c r="F311" s="29">
        <f>IF(Input!D122&gt;0,1,0)+IF(Input!D123&gt;0,1,0)+IF(Input!D124&gt;0,1,0)+IF(Input!D125&gt;0,1,0)+IF(Input!D126&gt;0,1,0)+IF(Input!D127&gt;0,1,0)</f>
        <v>0</v>
      </c>
      <c r="G311" s="125" t="s">
        <v>144</v>
      </c>
      <c r="H311" s="90"/>
      <c r="I311" s="30"/>
      <c r="J311" s="8"/>
      <c r="K311" s="8"/>
      <c r="L311" s="8"/>
      <c r="M311" s="8"/>
      <c r="N311" s="8"/>
      <c r="O311" s="8"/>
      <c r="P311" s="8"/>
      <c r="Q311" s="8"/>
      <c r="R311" s="8"/>
    </row>
    <row r="312" spans="1:21">
      <c r="A312" s="12" t="s">
        <v>431</v>
      </c>
      <c r="B312" s="25"/>
      <c r="C312" s="13"/>
      <c r="D312" s="13"/>
      <c r="F312" s="25">
        <f>(Input!F122*Input!D122+(3.14*Input!F122^2)/2)*0.0038</f>
        <v>0</v>
      </c>
      <c r="G312" s="125" t="s">
        <v>139</v>
      </c>
      <c r="H312" s="90"/>
      <c r="I312" s="30"/>
      <c r="J312" s="8"/>
      <c r="K312" s="8"/>
      <c r="L312" s="8"/>
      <c r="M312" s="8"/>
      <c r="N312" s="8"/>
      <c r="O312" s="8"/>
      <c r="P312" s="8"/>
      <c r="Q312" s="8"/>
      <c r="R312" s="8"/>
    </row>
    <row r="313" spans="1:21">
      <c r="A313" s="12" t="s">
        <v>432</v>
      </c>
      <c r="B313" s="25"/>
      <c r="C313" s="13"/>
      <c r="D313" s="13"/>
      <c r="F313" s="25">
        <f>(Input!F123*Input!D123+(3.14*Input!F123^2)/2)*0.0038</f>
        <v>0</v>
      </c>
      <c r="G313" s="29"/>
      <c r="H313" s="90"/>
      <c r="I313" s="30"/>
      <c r="J313" s="8"/>
      <c r="K313" s="8"/>
      <c r="L313" s="8"/>
      <c r="M313" s="8"/>
      <c r="N313" s="8"/>
      <c r="O313" s="8"/>
      <c r="P313" s="8"/>
      <c r="Q313" s="8"/>
      <c r="R313" s="8"/>
    </row>
    <row r="314" spans="1:21">
      <c r="A314" s="12" t="s">
        <v>433</v>
      </c>
      <c r="B314" s="25"/>
      <c r="C314" s="13"/>
      <c r="D314" s="13"/>
      <c r="F314" s="25">
        <f>(Input!F124*Input!D124+(3.14*Input!F124^2)/2)*0.0038</f>
        <v>0</v>
      </c>
      <c r="G314" s="29"/>
      <c r="H314" s="90"/>
      <c r="I314" s="30"/>
      <c r="J314" s="8"/>
      <c r="K314" s="8"/>
      <c r="L314" s="8"/>
      <c r="M314" s="8"/>
      <c r="N314" s="8"/>
      <c r="O314" s="8"/>
      <c r="P314" s="8"/>
      <c r="Q314" s="8"/>
      <c r="R314" s="8"/>
    </row>
    <row r="315" spans="1:21">
      <c r="A315" s="12" t="s">
        <v>434</v>
      </c>
      <c r="B315" s="25"/>
      <c r="C315" s="13"/>
      <c r="D315" s="13"/>
      <c r="F315" s="25">
        <f>(Input!F125*Input!D125+(3.14*Input!F125^2)/2)*0.0038</f>
        <v>0</v>
      </c>
      <c r="G315" s="29"/>
      <c r="H315" s="90"/>
      <c r="I315" s="30"/>
      <c r="J315" s="8"/>
      <c r="K315" s="8"/>
      <c r="L315" s="8"/>
      <c r="M315" s="8"/>
      <c r="N315" s="8"/>
      <c r="O315" s="8"/>
      <c r="P315" s="8"/>
      <c r="Q315" s="8"/>
      <c r="R315" s="8"/>
    </row>
    <row r="316" spans="1:21">
      <c r="A316" s="12" t="s">
        <v>435</v>
      </c>
      <c r="B316" s="25"/>
      <c r="C316" s="13"/>
      <c r="D316" s="13"/>
      <c r="F316" s="25">
        <f>(Input!F126*Input!D126+(3.14*Input!F126^2)/2)*0.0038</f>
        <v>0</v>
      </c>
      <c r="G316" s="29"/>
      <c r="H316" s="90"/>
      <c r="I316" s="30"/>
      <c r="J316" s="8"/>
      <c r="K316" s="8"/>
      <c r="L316" s="8"/>
      <c r="M316" s="8"/>
      <c r="N316" s="8"/>
      <c r="O316" s="8"/>
      <c r="P316" s="8"/>
      <c r="Q316" s="8"/>
      <c r="R316" s="8"/>
    </row>
    <row r="317" spans="1:21">
      <c r="A317" s="12" t="s">
        <v>436</v>
      </c>
      <c r="B317" s="25"/>
      <c r="C317" s="13"/>
      <c r="D317" s="13"/>
      <c r="F317" s="25">
        <f>(Input!F127*Input!D127+(3.14*Input!F127^2)/2)*0.0038</f>
        <v>0</v>
      </c>
      <c r="G317" s="29"/>
      <c r="H317" s="90"/>
      <c r="I317" s="30"/>
      <c r="J317" s="8"/>
      <c r="K317" s="8"/>
      <c r="L317" s="8"/>
      <c r="M317" s="8"/>
      <c r="N317" s="8"/>
      <c r="O317" s="8"/>
      <c r="P317" s="8"/>
      <c r="Q317" s="8"/>
      <c r="R317" s="8"/>
    </row>
    <row r="318" spans="1:21">
      <c r="A318" s="12" t="s">
        <v>334</v>
      </c>
      <c r="B318" s="25"/>
      <c r="C318" s="13"/>
      <c r="D318" s="13"/>
      <c r="F318" s="88">
        <f>SUM(F312:F317)</f>
        <v>0</v>
      </c>
      <c r="G318" s="29"/>
      <c r="H318" s="90"/>
      <c r="I318" s="30"/>
      <c r="J318" s="8"/>
      <c r="K318" s="8"/>
      <c r="L318" s="8"/>
      <c r="M318" s="8"/>
      <c r="N318" s="8"/>
      <c r="O318" s="8"/>
      <c r="P318" s="8"/>
      <c r="Q318" s="8"/>
      <c r="R318" s="8"/>
    </row>
    <row r="319" spans="1:21">
      <c r="A319" s="12" t="s">
        <v>398</v>
      </c>
      <c r="B319" s="25"/>
      <c r="C319" s="13">
        <v>100</v>
      </c>
      <c r="D319" s="13" t="s">
        <v>100</v>
      </c>
      <c r="E319" s="13"/>
      <c r="F319" s="29"/>
      <c r="G319" s="29"/>
      <c r="H319" s="90">
        <f>F311*C319</f>
        <v>0</v>
      </c>
      <c r="I319" s="30" t="s">
        <v>159</v>
      </c>
      <c r="J319" s="8"/>
      <c r="K319" s="8"/>
      <c r="L319" s="8"/>
      <c r="M319" s="8"/>
      <c r="N319" s="8"/>
      <c r="O319" s="8"/>
      <c r="P319" s="8"/>
      <c r="Q319" s="8"/>
      <c r="R319" s="8"/>
    </row>
    <row r="320" spans="1:21">
      <c r="A320" s="12" t="s">
        <v>336</v>
      </c>
      <c r="B320" s="25"/>
      <c r="C320" s="54">
        <f>B97</f>
        <v>0.15</v>
      </c>
      <c r="D320" s="13" t="s">
        <v>437</v>
      </c>
      <c r="E320" s="13"/>
      <c r="F320" s="29"/>
      <c r="G320" s="29"/>
      <c r="H320" s="90">
        <f>F318*C320*Input!D149</f>
        <v>0</v>
      </c>
      <c r="I320" s="30" t="s">
        <v>159</v>
      </c>
      <c r="J320" s="8"/>
      <c r="K320" s="8"/>
      <c r="L320" s="8"/>
      <c r="M320" s="8"/>
      <c r="N320" s="8"/>
      <c r="O320" s="8"/>
      <c r="P320" s="8"/>
      <c r="Q320" s="8"/>
      <c r="R320" s="8"/>
    </row>
    <row r="321" spans="1:18">
      <c r="A321" s="35" t="s">
        <v>600</v>
      </c>
      <c r="B321" s="25"/>
      <c r="C321" s="54">
        <v>0</v>
      </c>
      <c r="D321" s="13" t="s">
        <v>86</v>
      </c>
      <c r="E321" s="13"/>
      <c r="F321" s="29"/>
      <c r="G321" s="29"/>
      <c r="H321" s="90">
        <f>F318*C321</f>
        <v>0</v>
      </c>
      <c r="I321" s="30" t="s">
        <v>159</v>
      </c>
      <c r="J321" s="199"/>
      <c r="K321" s="8"/>
      <c r="L321" s="8"/>
      <c r="M321" s="8"/>
      <c r="N321" s="8"/>
      <c r="O321" s="8"/>
      <c r="P321" s="8"/>
      <c r="Q321" s="8"/>
      <c r="R321" s="8"/>
    </row>
    <row r="322" spans="1:18">
      <c r="A322" s="12"/>
      <c r="B322" s="25"/>
      <c r="C322" s="13"/>
      <c r="D322" s="13"/>
      <c r="E322" s="13"/>
      <c r="F322" s="29"/>
      <c r="G322" s="29"/>
      <c r="H322" s="90"/>
      <c r="I322" s="30"/>
      <c r="J322" s="8"/>
      <c r="K322" s="8"/>
      <c r="L322" s="8"/>
      <c r="M322" s="8"/>
      <c r="N322" s="8"/>
      <c r="O322" s="8"/>
      <c r="P322" s="8"/>
      <c r="Q322" s="8"/>
      <c r="R322" s="8"/>
    </row>
    <row r="323" spans="1:18">
      <c r="A323" s="48" t="s">
        <v>596</v>
      </c>
      <c r="B323" s="25"/>
      <c r="C323" s="13"/>
      <c r="D323" s="13"/>
      <c r="E323" s="13"/>
      <c r="F323" s="29" t="s">
        <v>301</v>
      </c>
      <c r="G323" s="29" t="s">
        <v>183</v>
      </c>
      <c r="H323" s="90"/>
      <c r="I323" s="30"/>
      <c r="J323" s="8"/>
      <c r="K323" s="8"/>
      <c r="L323" s="8"/>
      <c r="M323" s="8"/>
      <c r="N323" s="8"/>
      <c r="O323" s="8"/>
      <c r="P323" s="8"/>
      <c r="Q323" s="8"/>
      <c r="R323" s="8"/>
    </row>
    <row r="324" spans="1:18">
      <c r="A324" s="18" t="s">
        <v>200</v>
      </c>
      <c r="B324" s="25"/>
      <c r="C324" s="13"/>
      <c r="D324" s="13"/>
      <c r="E324" s="13"/>
      <c r="F324" s="13">
        <f>Input!D130</f>
        <v>0</v>
      </c>
      <c r="G324" s="13">
        <f>Input!D131</f>
        <v>0</v>
      </c>
      <c r="H324" s="90"/>
      <c r="I324" s="30"/>
      <c r="J324" s="8"/>
      <c r="K324" s="8"/>
      <c r="L324" s="8"/>
      <c r="M324" s="8"/>
      <c r="N324" s="8"/>
      <c r="O324" s="8"/>
      <c r="P324" s="8"/>
      <c r="Q324" s="8"/>
      <c r="R324" s="8"/>
    </row>
    <row r="325" spans="1:18">
      <c r="A325" s="18" t="s">
        <v>93</v>
      </c>
      <c r="B325" s="25"/>
      <c r="C325" s="13">
        <v>1</v>
      </c>
      <c r="D325" s="13" t="s">
        <v>101</v>
      </c>
      <c r="E325" s="13"/>
      <c r="F325" s="13"/>
      <c r="G325" s="13"/>
      <c r="H325" s="90">
        <f>(F$324+G$324)*C325</f>
        <v>0</v>
      </c>
      <c r="I325" s="30" t="s">
        <v>134</v>
      </c>
      <c r="J325" s="8"/>
      <c r="K325" s="8"/>
      <c r="L325" s="8"/>
      <c r="M325" s="8"/>
      <c r="N325" s="8"/>
      <c r="O325" s="8"/>
      <c r="P325" s="8"/>
      <c r="Q325" s="8"/>
      <c r="R325" s="8"/>
    </row>
    <row r="326" spans="1:18">
      <c r="A326" s="18" t="s">
        <v>197</v>
      </c>
      <c r="B326" s="25"/>
      <c r="C326" s="13">
        <v>1</v>
      </c>
      <c r="D326" s="13" t="s">
        <v>101</v>
      </c>
      <c r="E326" s="13"/>
      <c r="F326" s="13"/>
      <c r="G326" s="13"/>
      <c r="H326" s="90">
        <f>ROUNDUP((F$324+G$324)*C326*E91*1.2,0)</f>
        <v>0</v>
      </c>
      <c r="I326" s="30" t="s">
        <v>159</v>
      </c>
      <c r="J326" s="8"/>
      <c r="K326" s="8"/>
      <c r="L326" s="8"/>
      <c r="M326" s="8"/>
      <c r="N326" s="8"/>
      <c r="O326" s="8"/>
      <c r="P326" s="8"/>
      <c r="Q326" s="8"/>
      <c r="R326" s="8"/>
    </row>
    <row r="327" spans="1:18">
      <c r="A327" s="18" t="s">
        <v>371</v>
      </c>
      <c r="B327" s="25"/>
      <c r="C327" s="54">
        <f>B96</f>
        <v>4</v>
      </c>
      <c r="D327" s="13" t="s">
        <v>98</v>
      </c>
      <c r="E327" s="13"/>
      <c r="F327" s="13"/>
      <c r="G327" s="13"/>
      <c r="H327" s="90">
        <f>(F324+G324)*C327*Input!D149</f>
        <v>0</v>
      </c>
      <c r="I327" s="30" t="s">
        <v>159</v>
      </c>
      <c r="J327" s="8"/>
      <c r="K327" s="8"/>
      <c r="L327" s="8"/>
      <c r="M327" s="8"/>
      <c r="N327" s="8"/>
      <c r="O327" s="8"/>
      <c r="P327" s="8"/>
      <c r="Q327" s="8"/>
    </row>
    <row r="328" spans="1:18">
      <c r="A328" s="18" t="s">
        <v>293</v>
      </c>
      <c r="B328" s="25"/>
      <c r="C328" s="54">
        <f>B109</f>
        <v>100</v>
      </c>
      <c r="D328" s="13" t="s">
        <v>100</v>
      </c>
      <c r="E328" s="13"/>
      <c r="F328" s="29"/>
      <c r="G328" s="29"/>
      <c r="H328" s="90">
        <f>F324*C328</f>
        <v>0</v>
      </c>
      <c r="I328" s="30" t="s">
        <v>159</v>
      </c>
      <c r="J328" s="8"/>
      <c r="K328" s="8"/>
      <c r="L328" s="8"/>
      <c r="M328" s="8"/>
      <c r="N328" s="8"/>
      <c r="O328" s="8"/>
      <c r="P328" s="8"/>
      <c r="Q328" s="8"/>
      <c r="R328" s="8"/>
    </row>
    <row r="329" spans="1:18">
      <c r="A329" s="18" t="s">
        <v>292</v>
      </c>
      <c r="B329" s="25"/>
      <c r="C329" s="54">
        <f>B110</f>
        <v>1000</v>
      </c>
      <c r="D329" s="13" t="s">
        <v>100</v>
      </c>
      <c r="E329" s="13"/>
      <c r="F329" s="29"/>
      <c r="G329" s="29"/>
      <c r="H329" s="90">
        <f>G324*C329</f>
        <v>0</v>
      </c>
      <c r="I329" s="30" t="s">
        <v>159</v>
      </c>
      <c r="J329" s="8"/>
      <c r="K329" s="8"/>
      <c r="L329" s="8"/>
      <c r="M329" s="8"/>
      <c r="N329" s="8"/>
      <c r="O329" s="8"/>
      <c r="P329" s="8"/>
      <c r="Q329" s="8"/>
      <c r="R329" s="8"/>
    </row>
    <row r="330" spans="1:18">
      <c r="A330" s="18"/>
      <c r="B330" s="25"/>
      <c r="C330" s="13"/>
      <c r="D330" s="13"/>
      <c r="E330" s="13"/>
      <c r="F330" s="29"/>
      <c r="G330" s="29"/>
      <c r="H330" s="90"/>
      <c r="I330" s="30"/>
      <c r="J330" s="8"/>
      <c r="K330" s="8"/>
      <c r="L330" s="8"/>
      <c r="M330" s="8"/>
      <c r="N330" s="8"/>
      <c r="O330" s="8"/>
      <c r="P330" s="8"/>
      <c r="Q330" s="8"/>
      <c r="R330" s="8"/>
    </row>
    <row r="331" spans="1:18">
      <c r="A331" s="48" t="s">
        <v>107</v>
      </c>
      <c r="B331" s="25"/>
      <c r="C331" s="13"/>
      <c r="D331" s="13"/>
      <c r="E331" s="13"/>
      <c r="F331" s="29" t="s">
        <v>138</v>
      </c>
      <c r="G331" s="29"/>
      <c r="H331" s="167"/>
      <c r="I331" s="30"/>
      <c r="J331" s="6"/>
      <c r="K331" s="8"/>
      <c r="L331" s="8"/>
      <c r="M331" s="8"/>
      <c r="N331" s="8"/>
      <c r="O331" s="8"/>
      <c r="P331" s="8"/>
      <c r="Q331" s="8"/>
      <c r="R331" s="8"/>
    </row>
    <row r="332" spans="1:18">
      <c r="A332" s="18" t="s">
        <v>236</v>
      </c>
      <c r="B332" s="25"/>
      <c r="C332" s="54">
        <v>30</v>
      </c>
      <c r="D332" s="13" t="s">
        <v>109</v>
      </c>
      <c r="E332" s="13"/>
      <c r="F332" s="29">
        <f>Input!D134</f>
        <v>0</v>
      </c>
      <c r="G332" s="29"/>
      <c r="H332" s="90">
        <f>ROUNDUP(F332*C332,0)</f>
        <v>0</v>
      </c>
      <c r="I332" s="30" t="s">
        <v>159</v>
      </c>
      <c r="J332" s="8"/>
      <c r="K332" s="8"/>
      <c r="L332" s="8"/>
      <c r="M332" s="8"/>
      <c r="N332" s="8"/>
      <c r="O332" s="8"/>
      <c r="P332" s="8"/>
      <c r="Q332" s="8"/>
      <c r="R332" s="8"/>
    </row>
    <row r="333" spans="1:18">
      <c r="A333" s="18" t="s">
        <v>371</v>
      </c>
      <c r="B333" s="25"/>
      <c r="C333" s="54">
        <f>B96</f>
        <v>4</v>
      </c>
      <c r="D333" s="13" t="s">
        <v>438</v>
      </c>
      <c r="E333" s="13"/>
      <c r="F333" s="29"/>
      <c r="G333" s="29"/>
      <c r="H333" s="90">
        <f>C333*ROUNDUP(F332/15,0)*Input!D149</f>
        <v>0</v>
      </c>
      <c r="I333" s="30" t="s">
        <v>159</v>
      </c>
      <c r="J333" s="8"/>
      <c r="K333" s="8"/>
      <c r="L333" s="8"/>
      <c r="M333" s="8"/>
      <c r="N333" s="8"/>
      <c r="O333" s="8"/>
      <c r="P333" s="8"/>
      <c r="Q333" s="8"/>
    </row>
    <row r="334" spans="1:18">
      <c r="A334" s="18" t="s">
        <v>97</v>
      </c>
      <c r="B334" s="25"/>
      <c r="C334" s="54">
        <f>B$100</f>
        <v>21</v>
      </c>
      <c r="D334" s="13" t="s">
        <v>109</v>
      </c>
      <c r="E334" s="13"/>
      <c r="F334" s="29"/>
      <c r="G334" s="29"/>
      <c r="H334" s="90">
        <f>F332*C334</f>
        <v>0</v>
      </c>
      <c r="I334" s="30" t="s">
        <v>159</v>
      </c>
      <c r="J334" s="8"/>
      <c r="K334" s="8"/>
      <c r="L334" s="8"/>
      <c r="M334" s="8"/>
      <c r="N334" s="8"/>
      <c r="O334" s="8"/>
      <c r="P334" s="8"/>
      <c r="Q334" s="8"/>
    </row>
    <row r="335" spans="1:18">
      <c r="A335" s="18"/>
      <c r="B335" s="25"/>
      <c r="C335" s="13"/>
      <c r="D335" s="13"/>
      <c r="E335" s="13"/>
      <c r="F335" s="29"/>
      <c r="G335" s="29"/>
      <c r="H335" s="90"/>
      <c r="I335" s="30"/>
      <c r="J335" s="8"/>
      <c r="K335" s="8"/>
      <c r="L335" s="8"/>
      <c r="M335" s="8"/>
      <c r="N335" s="8"/>
      <c r="O335" s="8"/>
      <c r="P335" s="8"/>
      <c r="Q335" s="8"/>
    </row>
    <row r="336" spans="1:18">
      <c r="A336" s="48" t="s">
        <v>108</v>
      </c>
      <c r="B336" s="25"/>
      <c r="C336" s="13"/>
      <c r="D336" s="13"/>
      <c r="E336" s="13"/>
      <c r="F336" s="29" t="s">
        <v>138</v>
      </c>
      <c r="G336" s="29"/>
      <c r="H336" s="90"/>
      <c r="I336" s="30"/>
      <c r="J336" s="8"/>
      <c r="K336" s="8"/>
      <c r="L336" s="8"/>
      <c r="M336" s="8"/>
      <c r="N336" s="8"/>
      <c r="O336" s="8"/>
      <c r="P336" s="8"/>
      <c r="Q336" s="8"/>
      <c r="R336" s="8"/>
    </row>
    <row r="337" spans="1:18">
      <c r="A337" s="18" t="s">
        <v>236</v>
      </c>
      <c r="B337" s="25"/>
      <c r="C337" s="54">
        <v>0.5</v>
      </c>
      <c r="D337" s="13" t="s">
        <v>109</v>
      </c>
      <c r="E337" s="13"/>
      <c r="F337" s="29">
        <f>Input!D135</f>
        <v>0</v>
      </c>
      <c r="G337" s="29"/>
      <c r="H337" s="90">
        <f>ROUNDUP(F337*C337,0)</f>
        <v>0</v>
      </c>
      <c r="I337" s="30" t="s">
        <v>159</v>
      </c>
      <c r="J337" s="8"/>
      <c r="K337" s="8"/>
      <c r="L337" s="8"/>
      <c r="M337" s="8"/>
      <c r="N337" s="8"/>
      <c r="O337" s="8"/>
      <c r="P337" s="8"/>
      <c r="Q337" s="8"/>
      <c r="R337" s="8"/>
    </row>
    <row r="338" spans="1:18">
      <c r="A338" s="18" t="s">
        <v>371</v>
      </c>
      <c r="B338" s="25"/>
      <c r="C338" s="54">
        <f>B96</f>
        <v>4</v>
      </c>
      <c r="D338" s="13" t="s">
        <v>439</v>
      </c>
      <c r="E338" s="13"/>
      <c r="F338" s="29"/>
      <c r="G338" s="29"/>
      <c r="H338" s="90">
        <f>Input!D149*ROUNDUP(F337/60,0)*C338</f>
        <v>0</v>
      </c>
      <c r="I338" s="30" t="s">
        <v>159</v>
      </c>
      <c r="J338" s="8"/>
      <c r="K338" s="8"/>
      <c r="L338" s="8"/>
      <c r="M338" s="8"/>
      <c r="N338" s="8"/>
      <c r="O338" s="8"/>
      <c r="P338" s="8"/>
      <c r="Q338" s="8"/>
    </row>
    <row r="339" spans="1:18">
      <c r="A339" s="18" t="s">
        <v>97</v>
      </c>
      <c r="B339" s="25"/>
      <c r="C339" s="54">
        <f>B$101</f>
        <v>1.25</v>
      </c>
      <c r="D339" s="13" t="s">
        <v>109</v>
      </c>
      <c r="E339" s="13"/>
      <c r="F339" s="29"/>
      <c r="G339" s="29"/>
      <c r="H339" s="90">
        <f>Input!D135*C339</f>
        <v>0</v>
      </c>
      <c r="I339" s="30" t="s">
        <v>159</v>
      </c>
      <c r="J339" s="8"/>
      <c r="K339" s="8"/>
      <c r="L339" s="8"/>
      <c r="M339" s="8"/>
      <c r="N339" s="8"/>
      <c r="O339" s="8"/>
      <c r="P339" s="8"/>
      <c r="Q339" s="8"/>
    </row>
    <row r="340" spans="1:18">
      <c r="A340" s="12"/>
      <c r="B340" s="25"/>
      <c r="C340" s="13"/>
      <c r="D340" s="13"/>
      <c r="E340" s="13"/>
      <c r="F340" s="29"/>
      <c r="G340" s="29"/>
      <c r="H340" s="90"/>
      <c r="I340" s="30"/>
      <c r="J340" s="8"/>
      <c r="K340" s="8"/>
      <c r="L340" s="8"/>
      <c r="M340" s="8"/>
      <c r="N340" s="8"/>
      <c r="O340" s="8"/>
      <c r="P340" s="8"/>
      <c r="Q340" s="8"/>
      <c r="R340" s="8"/>
    </row>
    <row r="341" spans="1:18">
      <c r="A341" s="48" t="s">
        <v>597</v>
      </c>
      <c r="B341" s="25"/>
      <c r="C341" s="13"/>
      <c r="D341" s="13"/>
      <c r="E341" s="13"/>
      <c r="F341" s="29" t="s">
        <v>138</v>
      </c>
      <c r="G341" s="29"/>
      <c r="H341" s="90"/>
      <c r="I341" s="30"/>
      <c r="J341" s="8"/>
      <c r="K341" s="8"/>
      <c r="L341" s="8"/>
      <c r="M341" s="8"/>
      <c r="N341" s="8"/>
      <c r="O341" s="8"/>
      <c r="P341" s="8"/>
      <c r="Q341" s="8"/>
      <c r="R341" s="8"/>
    </row>
    <row r="342" spans="1:18">
      <c r="A342" s="18" t="s">
        <v>97</v>
      </c>
      <c r="B342" s="25"/>
      <c r="C342" s="54">
        <f>B107</f>
        <v>550</v>
      </c>
      <c r="D342" s="13" t="s">
        <v>146</v>
      </c>
      <c r="E342" s="13"/>
      <c r="F342" s="29">
        <f>Input!D137</f>
        <v>0</v>
      </c>
      <c r="G342" s="29"/>
      <c r="H342" s="90">
        <f>F342*C342</f>
        <v>0</v>
      </c>
      <c r="I342" s="30" t="s">
        <v>159</v>
      </c>
      <c r="J342" s="8"/>
      <c r="K342" s="8"/>
      <c r="L342" s="8"/>
      <c r="M342" s="8"/>
      <c r="N342" s="8"/>
      <c r="O342" s="8"/>
      <c r="P342" s="8"/>
      <c r="Q342" s="8"/>
    </row>
    <row r="343" spans="1:18">
      <c r="A343" s="18"/>
      <c r="B343" s="25"/>
      <c r="C343" s="39"/>
      <c r="D343" s="13"/>
      <c r="E343" s="13"/>
      <c r="F343" s="29"/>
      <c r="G343" s="29"/>
      <c r="H343" s="90"/>
      <c r="I343" s="30"/>
      <c r="J343" s="8"/>
      <c r="K343" s="8"/>
      <c r="L343" s="8"/>
      <c r="M343" s="8"/>
      <c r="N343" s="8"/>
      <c r="O343" s="8"/>
      <c r="P343" s="8"/>
      <c r="Q343" s="8"/>
      <c r="R343" s="8"/>
    </row>
    <row r="344" spans="1:18">
      <c r="A344" s="48" t="s">
        <v>41</v>
      </c>
      <c r="B344" s="25"/>
      <c r="C344" s="13"/>
      <c r="D344" s="13"/>
      <c r="E344" s="13"/>
      <c r="F344" s="29" t="s">
        <v>138</v>
      </c>
      <c r="G344" s="29"/>
      <c r="H344" s="90"/>
      <c r="I344" s="30"/>
      <c r="J344" s="8"/>
      <c r="K344" s="8"/>
      <c r="L344" s="8"/>
      <c r="M344" s="8"/>
      <c r="N344" s="8"/>
      <c r="O344" s="8"/>
      <c r="P344" s="8"/>
      <c r="Q344" s="8"/>
      <c r="R344" s="8"/>
    </row>
    <row r="345" spans="1:18">
      <c r="A345" s="18" t="s">
        <v>236</v>
      </c>
      <c r="B345" s="25"/>
      <c r="C345" s="54">
        <v>15</v>
      </c>
      <c r="D345" s="13" t="s">
        <v>146</v>
      </c>
      <c r="E345" s="13"/>
      <c r="F345" s="29">
        <f>Input!D139</f>
        <v>0</v>
      </c>
      <c r="G345" s="29"/>
      <c r="H345" s="90">
        <f>C345*F345</f>
        <v>0</v>
      </c>
      <c r="I345" s="30" t="s">
        <v>159</v>
      </c>
      <c r="J345" s="8"/>
      <c r="K345" s="8"/>
      <c r="L345" s="8"/>
      <c r="M345" s="8"/>
      <c r="N345" s="8"/>
      <c r="O345" s="8"/>
      <c r="P345" s="8"/>
      <c r="Q345" s="8"/>
      <c r="R345" s="8"/>
    </row>
    <row r="346" spans="1:18">
      <c r="A346" s="18" t="s">
        <v>371</v>
      </c>
      <c r="B346" s="25"/>
      <c r="C346" s="54">
        <f>B96</f>
        <v>4</v>
      </c>
      <c r="D346" s="13" t="s">
        <v>102</v>
      </c>
      <c r="E346" s="13"/>
      <c r="F346" s="29"/>
      <c r="G346" s="29"/>
      <c r="H346" s="90">
        <f>ROUNDUP(F345/20,0)*Input!D149*C346</f>
        <v>0</v>
      </c>
      <c r="I346" s="30" t="s">
        <v>159</v>
      </c>
      <c r="J346" s="8"/>
      <c r="K346" s="8"/>
      <c r="L346" s="8"/>
      <c r="M346" s="8" t="s">
        <v>92</v>
      </c>
      <c r="N346" s="8"/>
      <c r="O346" s="8"/>
      <c r="P346" s="8"/>
      <c r="Q346" s="8"/>
    </row>
    <row r="347" spans="1:18">
      <c r="A347" s="18" t="s">
        <v>97</v>
      </c>
      <c r="B347" s="25"/>
      <c r="C347" s="54">
        <f>B$106</f>
        <v>90</v>
      </c>
      <c r="D347" s="13" t="s">
        <v>146</v>
      </c>
      <c r="E347" s="13"/>
      <c r="F347" s="29"/>
      <c r="G347" s="29"/>
      <c r="H347" s="90">
        <f>F345*C347</f>
        <v>0</v>
      </c>
      <c r="I347" s="30" t="s">
        <v>159</v>
      </c>
      <c r="J347" s="8"/>
      <c r="K347" s="8"/>
      <c r="L347" s="8"/>
      <c r="M347" s="8"/>
      <c r="N347" s="8"/>
      <c r="O347" s="8"/>
      <c r="P347" s="8"/>
      <c r="Q347" s="8"/>
    </row>
    <row r="348" spans="1:18">
      <c r="A348" s="12"/>
      <c r="B348" s="25"/>
      <c r="C348" s="13"/>
      <c r="D348" s="13"/>
      <c r="E348" s="13"/>
      <c r="F348" s="29"/>
      <c r="G348" s="29"/>
      <c r="H348" s="90"/>
      <c r="I348" s="30"/>
      <c r="J348" s="8"/>
      <c r="K348" s="8"/>
      <c r="L348" s="8"/>
      <c r="M348" s="8"/>
      <c r="N348" s="8"/>
      <c r="O348" s="8"/>
      <c r="P348" s="8"/>
      <c r="Q348" s="8"/>
      <c r="R348" s="8"/>
    </row>
    <row r="349" spans="1:18">
      <c r="A349" s="48" t="s">
        <v>148</v>
      </c>
      <c r="B349" s="25"/>
      <c r="C349" s="13"/>
      <c r="D349" s="13"/>
      <c r="E349" s="13"/>
      <c r="F349" s="29" t="s">
        <v>184</v>
      </c>
      <c r="G349" s="29"/>
      <c r="H349" s="90"/>
      <c r="I349" s="30"/>
      <c r="J349" s="8"/>
      <c r="K349" s="8"/>
      <c r="L349" s="8"/>
      <c r="M349" s="8"/>
      <c r="N349" s="8"/>
      <c r="O349" s="8"/>
      <c r="P349" s="8"/>
      <c r="Q349" s="8"/>
      <c r="R349" s="8"/>
    </row>
    <row r="350" spans="1:18">
      <c r="A350" s="18" t="s">
        <v>97</v>
      </c>
      <c r="B350" s="25"/>
      <c r="C350" s="54">
        <f>B$111</f>
        <v>1000</v>
      </c>
      <c r="D350" s="13" t="s">
        <v>147</v>
      </c>
      <c r="E350" s="13"/>
      <c r="F350" s="29">
        <f>Input!D141</f>
        <v>0</v>
      </c>
      <c r="G350" s="29"/>
      <c r="H350" s="90">
        <f>IF(F350&gt;0, C350,0)</f>
        <v>0</v>
      </c>
      <c r="I350" s="30" t="s">
        <v>159</v>
      </c>
      <c r="J350" s="8"/>
      <c r="K350" s="8"/>
      <c r="L350" s="8"/>
      <c r="M350" s="8"/>
      <c r="N350" s="8"/>
      <c r="O350" s="8"/>
      <c r="P350" s="8"/>
      <c r="Q350" s="8"/>
    </row>
    <row r="351" spans="1:18">
      <c r="A351" s="18"/>
      <c r="B351" s="25"/>
      <c r="C351" s="13"/>
      <c r="D351" s="13"/>
      <c r="E351" s="13"/>
      <c r="F351" s="29"/>
      <c r="G351" s="29"/>
      <c r="H351" s="90"/>
      <c r="I351" s="30"/>
      <c r="J351" s="8"/>
      <c r="K351" s="8"/>
      <c r="L351" s="8"/>
      <c r="M351" s="8"/>
      <c r="N351" s="8"/>
      <c r="O351" s="8"/>
      <c r="P351" s="8"/>
      <c r="Q351" s="8"/>
      <c r="R351" s="8"/>
    </row>
    <row r="352" spans="1:18">
      <c r="A352" s="48" t="s">
        <v>458</v>
      </c>
      <c r="B352" s="25"/>
      <c r="C352" s="13"/>
      <c r="D352" s="13"/>
      <c r="E352" s="13"/>
      <c r="F352" s="29" t="s">
        <v>185</v>
      </c>
      <c r="G352" s="29"/>
      <c r="H352" s="90"/>
      <c r="I352" s="30"/>
      <c r="J352" s="8"/>
      <c r="K352" s="8"/>
      <c r="L352" s="8"/>
      <c r="M352" s="8"/>
      <c r="N352" s="8"/>
      <c r="O352" s="8"/>
      <c r="P352" s="8"/>
      <c r="Q352" s="8"/>
      <c r="R352" s="8"/>
    </row>
    <row r="353" spans="1:18">
      <c r="A353" s="18" t="s">
        <v>377</v>
      </c>
      <c r="B353" s="25"/>
      <c r="C353" s="37">
        <v>90</v>
      </c>
      <c r="D353" s="13" t="s">
        <v>71</v>
      </c>
      <c r="E353" s="13"/>
      <c r="F353" s="29">
        <f>Input!D143</f>
        <v>0</v>
      </c>
      <c r="G353" s="29"/>
      <c r="H353" s="90">
        <f>F353/C353</f>
        <v>0</v>
      </c>
      <c r="I353" s="30" t="s">
        <v>311</v>
      </c>
      <c r="J353" s="8"/>
      <c r="K353" s="8"/>
      <c r="L353" s="8"/>
      <c r="M353" s="8"/>
      <c r="N353" s="8"/>
      <c r="O353" s="8"/>
      <c r="P353" s="8"/>
      <c r="Q353" s="8"/>
      <c r="R353" s="8"/>
    </row>
    <row r="354" spans="1:18">
      <c r="A354" s="18" t="s">
        <v>371</v>
      </c>
      <c r="B354" s="25"/>
      <c r="C354" s="54">
        <f>B96</f>
        <v>4</v>
      </c>
      <c r="D354" s="13" t="s">
        <v>351</v>
      </c>
      <c r="E354" s="13"/>
      <c r="F354" s="29"/>
      <c r="G354" s="29"/>
      <c r="H354" s="90">
        <f>ROUNDUP(F353/15,0)*C354*Input!D149</f>
        <v>0</v>
      </c>
      <c r="I354" s="30" t="s">
        <v>159</v>
      </c>
      <c r="J354" s="8"/>
      <c r="K354" s="8"/>
      <c r="L354" s="8"/>
      <c r="M354" s="8"/>
      <c r="N354" s="8"/>
      <c r="O354" s="8"/>
      <c r="P354" s="8"/>
      <c r="Q354" s="8"/>
    </row>
    <row r="355" spans="1:18">
      <c r="A355" s="18" t="s">
        <v>87</v>
      </c>
      <c r="B355" s="25"/>
      <c r="C355" s="126">
        <f>B$99</f>
        <v>32.5</v>
      </c>
      <c r="D355" s="13" t="s">
        <v>103</v>
      </c>
      <c r="E355" s="13"/>
      <c r="F355" s="29"/>
      <c r="G355" s="29"/>
      <c r="H355" s="90">
        <f>(F353*C355)</f>
        <v>0</v>
      </c>
      <c r="I355" s="30" t="s">
        <v>159</v>
      </c>
      <c r="J355" s="8"/>
      <c r="K355" s="8"/>
      <c r="L355" s="8"/>
      <c r="M355" s="8"/>
      <c r="N355" s="8"/>
      <c r="O355" s="8"/>
      <c r="P355" s="8"/>
      <c r="Q355" s="8"/>
    </row>
    <row r="356" spans="1:18">
      <c r="A356" s="18"/>
      <c r="B356" s="25"/>
      <c r="C356" s="126"/>
      <c r="D356" s="13"/>
      <c r="E356" s="13"/>
      <c r="F356" s="29"/>
      <c r="G356" s="29"/>
      <c r="H356" s="90"/>
      <c r="I356" s="30"/>
      <c r="J356" s="8"/>
      <c r="K356" s="8"/>
      <c r="L356" s="8"/>
      <c r="M356" s="8"/>
      <c r="N356" s="8"/>
      <c r="O356" s="8"/>
      <c r="P356" s="8"/>
      <c r="Q356" s="8"/>
    </row>
    <row r="357" spans="1:18">
      <c r="A357" s="179" t="s">
        <v>574</v>
      </c>
      <c r="B357" s="25"/>
      <c r="C357" s="126"/>
      <c r="D357" s="13"/>
      <c r="E357" s="13"/>
      <c r="F357" s="125" t="s">
        <v>185</v>
      </c>
      <c r="G357" s="125" t="s">
        <v>139</v>
      </c>
      <c r="H357" s="90"/>
      <c r="I357" s="30"/>
      <c r="J357" s="8"/>
      <c r="K357" s="8"/>
      <c r="L357" s="8"/>
      <c r="M357" s="8"/>
      <c r="N357" s="8"/>
      <c r="O357" s="8"/>
      <c r="P357" s="8"/>
      <c r="Q357" s="8"/>
    </row>
    <row r="358" spans="1:18">
      <c r="A358" s="18" t="s">
        <v>377</v>
      </c>
      <c r="B358" s="25"/>
      <c r="C358" s="37">
        <v>45</v>
      </c>
      <c r="D358" s="13" t="s">
        <v>71</v>
      </c>
      <c r="E358" s="13"/>
      <c r="F358" s="29">
        <f>Input!D145</f>
        <v>0</v>
      </c>
      <c r="G358" s="29">
        <f>F358*5</f>
        <v>0</v>
      </c>
      <c r="H358" s="90">
        <f>G358/C358</f>
        <v>0</v>
      </c>
      <c r="I358" s="131" t="s">
        <v>311</v>
      </c>
      <c r="J358" s="201"/>
      <c r="K358" s="8"/>
      <c r="L358" s="8"/>
      <c r="M358" s="8"/>
      <c r="N358" s="8"/>
      <c r="O358" s="8"/>
      <c r="P358" s="8"/>
      <c r="Q358" s="8"/>
    </row>
    <row r="359" spans="1:18">
      <c r="A359" s="18" t="s">
        <v>371</v>
      </c>
      <c r="B359" s="25"/>
      <c r="C359" s="54">
        <f>B96</f>
        <v>4</v>
      </c>
      <c r="D359" s="32" t="s">
        <v>575</v>
      </c>
      <c r="E359" s="13"/>
      <c r="F359" s="29"/>
      <c r="G359" s="29"/>
      <c r="H359" s="90">
        <f>G358*C359</f>
        <v>0</v>
      </c>
      <c r="I359" s="131" t="s">
        <v>159</v>
      </c>
      <c r="J359" s="8"/>
      <c r="K359" s="8"/>
      <c r="L359" s="8"/>
      <c r="M359" s="8"/>
      <c r="N359" s="8"/>
      <c r="O359" s="8"/>
      <c r="P359" s="8"/>
      <c r="Q359" s="8"/>
    </row>
    <row r="360" spans="1:18">
      <c r="A360" s="18" t="s">
        <v>601</v>
      </c>
      <c r="B360" s="25"/>
      <c r="C360" s="126">
        <v>0</v>
      </c>
      <c r="D360" s="13" t="s">
        <v>103</v>
      </c>
      <c r="E360" s="13"/>
      <c r="F360" s="29"/>
      <c r="G360" s="29"/>
      <c r="H360" s="90">
        <f>G358*C360</f>
        <v>0</v>
      </c>
      <c r="I360" s="131" t="s">
        <v>159</v>
      </c>
      <c r="J360" s="8"/>
      <c r="K360" s="8"/>
      <c r="L360" s="8"/>
      <c r="M360" s="8"/>
      <c r="N360" s="8"/>
      <c r="O360" s="8"/>
      <c r="P360" s="8"/>
      <c r="Q360" s="8"/>
      <c r="R360" s="8"/>
    </row>
    <row r="361" spans="1:18">
      <c r="A361" s="18"/>
      <c r="B361" s="25"/>
      <c r="C361" s="13"/>
      <c r="D361" s="13"/>
      <c r="E361" s="13"/>
      <c r="F361" s="29"/>
      <c r="G361" s="29"/>
      <c r="H361" s="90"/>
      <c r="I361" s="30"/>
      <c r="J361" s="8"/>
      <c r="K361" s="8"/>
      <c r="L361" s="8"/>
      <c r="M361" s="8"/>
      <c r="N361" s="8"/>
      <c r="O361" s="8"/>
      <c r="P361" s="8"/>
      <c r="Q361" s="8"/>
      <c r="R361" s="8"/>
    </row>
    <row r="362" spans="1:18">
      <c r="A362" s="47" t="s">
        <v>592</v>
      </c>
      <c r="B362" s="25"/>
      <c r="C362" s="13"/>
      <c r="D362" s="13"/>
      <c r="E362" s="13"/>
      <c r="F362" s="125" t="s">
        <v>138</v>
      </c>
      <c r="G362" s="29"/>
      <c r="H362" s="90"/>
      <c r="I362" s="30"/>
      <c r="J362" s="8"/>
      <c r="K362" s="8"/>
      <c r="L362" s="8"/>
      <c r="M362" s="8"/>
      <c r="N362" s="8"/>
      <c r="O362" s="8"/>
      <c r="P362" s="8"/>
      <c r="Q362" s="8"/>
      <c r="R362" s="8"/>
    </row>
    <row r="363" spans="1:18">
      <c r="A363" s="12" t="s">
        <v>347</v>
      </c>
      <c r="B363" s="25"/>
      <c r="C363" s="13">
        <v>1</v>
      </c>
      <c r="D363" s="15" t="s">
        <v>350</v>
      </c>
      <c r="E363" s="13"/>
      <c r="F363" s="29">
        <f>Input!D147</f>
        <v>0</v>
      </c>
      <c r="G363" s="29"/>
      <c r="H363" s="90">
        <f>F363*C363*E91</f>
        <v>0</v>
      </c>
      <c r="I363" s="30" t="s">
        <v>159</v>
      </c>
      <c r="J363" s="8"/>
      <c r="K363" s="8"/>
      <c r="L363" s="8"/>
      <c r="M363" s="8"/>
      <c r="N363" s="8"/>
      <c r="O363" s="8"/>
      <c r="P363" s="8"/>
      <c r="Q363" s="8"/>
      <c r="R363" s="8"/>
    </row>
    <row r="364" spans="1:18">
      <c r="A364" s="12" t="s">
        <v>423</v>
      </c>
      <c r="B364" s="25"/>
      <c r="C364" s="200">
        <v>200</v>
      </c>
      <c r="D364" s="15" t="s">
        <v>349</v>
      </c>
      <c r="E364" s="13"/>
      <c r="F364" s="29"/>
      <c r="G364" s="29"/>
      <c r="H364" s="90">
        <f>F363*C364</f>
        <v>0</v>
      </c>
      <c r="I364" s="30" t="s">
        <v>159</v>
      </c>
      <c r="J364" s="201"/>
      <c r="K364" s="8"/>
      <c r="L364" s="8"/>
      <c r="M364" s="8"/>
      <c r="N364" s="8"/>
      <c r="O364" s="8"/>
      <c r="P364" s="8"/>
      <c r="Q364" s="8"/>
      <c r="R364" s="8"/>
    </row>
    <row r="365" spans="1:18">
      <c r="A365" s="12" t="s">
        <v>348</v>
      </c>
      <c r="B365" s="25"/>
      <c r="C365" s="93">
        <f>B96</f>
        <v>4</v>
      </c>
      <c r="D365" s="15" t="s">
        <v>352</v>
      </c>
      <c r="E365" s="13"/>
      <c r="F365" s="29"/>
      <c r="G365" s="29"/>
      <c r="H365" s="90">
        <f>ROUNDUP(F363/5,0)*C365*Input!D149</f>
        <v>0</v>
      </c>
      <c r="I365" s="30" t="s">
        <v>159</v>
      </c>
      <c r="J365" s="8"/>
      <c r="K365" s="8"/>
      <c r="L365" s="8"/>
      <c r="M365" s="8"/>
      <c r="N365" s="8"/>
      <c r="O365" s="8"/>
      <c r="P365" s="8"/>
      <c r="Q365" s="8"/>
      <c r="R365" s="8"/>
    </row>
    <row r="366" spans="1:18">
      <c r="A366" s="12" t="s">
        <v>602</v>
      </c>
      <c r="B366" s="25"/>
      <c r="C366" s="54">
        <f>B112</f>
        <v>0</v>
      </c>
      <c r="D366" s="13" t="s">
        <v>349</v>
      </c>
      <c r="E366" s="13"/>
      <c r="F366" s="29"/>
      <c r="G366" s="29"/>
      <c r="H366" s="90">
        <f>Input!D147*Calculations!C366</f>
        <v>0</v>
      </c>
      <c r="I366" s="30" t="s">
        <v>159</v>
      </c>
      <c r="J366" s="8"/>
      <c r="K366" s="8"/>
      <c r="L366" s="8"/>
      <c r="M366" s="8"/>
      <c r="N366" s="8"/>
      <c r="O366" s="8"/>
      <c r="P366" s="8"/>
      <c r="Q366" s="8"/>
      <c r="R366" s="8"/>
    </row>
    <row r="367" spans="1:18">
      <c r="H367" s="63"/>
      <c r="I367" s="128"/>
      <c r="J367" s="8"/>
      <c r="K367" s="8"/>
      <c r="L367" s="8"/>
      <c r="M367" s="8"/>
      <c r="N367" s="8"/>
      <c r="O367" s="8"/>
      <c r="P367" s="8"/>
      <c r="Q367" s="8"/>
      <c r="R367" s="8"/>
    </row>
    <row r="368" spans="1:18">
      <c r="A368" s="47" t="s">
        <v>158</v>
      </c>
      <c r="C368" s="13"/>
      <c r="D368" s="13"/>
      <c r="E368" s="13"/>
      <c r="F368" s="29" t="s">
        <v>186</v>
      </c>
      <c r="G368" s="29"/>
      <c r="H368" s="90"/>
      <c r="I368" s="129"/>
      <c r="J368" s="8"/>
      <c r="K368" s="8"/>
      <c r="L368" s="8"/>
      <c r="M368" s="8"/>
      <c r="N368" s="8"/>
      <c r="O368" s="8"/>
      <c r="P368" s="8"/>
      <c r="Q368" s="8"/>
      <c r="R368" s="8"/>
    </row>
    <row r="369" spans="1:18">
      <c r="A369" s="35" t="s">
        <v>598</v>
      </c>
      <c r="B369" s="25"/>
      <c r="C369" s="13">
        <v>3.5</v>
      </c>
      <c r="D369" s="15" t="s">
        <v>392</v>
      </c>
      <c r="E369" s="13"/>
      <c r="F369" s="29">
        <f>SUM(B119:B367)</f>
        <v>0</v>
      </c>
      <c r="G369" s="29"/>
      <c r="H369" s="90">
        <f>IF(F369&gt;1,ROUNDUP(F369/C369,0),0)</f>
        <v>0</v>
      </c>
      <c r="I369" s="129" t="s">
        <v>134</v>
      </c>
      <c r="J369" s="8"/>
      <c r="K369" s="8"/>
      <c r="L369" s="8"/>
      <c r="M369" s="8"/>
      <c r="N369" s="8"/>
      <c r="O369" s="8"/>
      <c r="P369" s="8"/>
      <c r="Q369" s="8"/>
      <c r="R369" s="8"/>
    </row>
    <row r="370" spans="1:18">
      <c r="A370" s="12" t="s">
        <v>393</v>
      </c>
      <c r="B370" s="13"/>
      <c r="C370" s="13">
        <v>2.5</v>
      </c>
      <c r="D370" s="15" t="s">
        <v>392</v>
      </c>
      <c r="E370" s="13"/>
      <c r="F370" s="29">
        <f>F369</f>
        <v>0</v>
      </c>
      <c r="G370" s="29"/>
      <c r="H370" s="90">
        <f>IF(F370&gt;1,ROUNDUP(F370/C370,0),0)</f>
        <v>0</v>
      </c>
      <c r="I370" s="129" t="s">
        <v>134</v>
      </c>
      <c r="J370" s="8"/>
      <c r="K370" s="8"/>
      <c r="L370" s="8"/>
      <c r="M370" s="8"/>
      <c r="N370" s="8"/>
      <c r="O370" s="8"/>
      <c r="P370" s="8"/>
      <c r="Q370" s="8"/>
      <c r="R370" s="8"/>
    </row>
    <row r="371" spans="1:18">
      <c r="A371" s="12" t="s">
        <v>372</v>
      </c>
      <c r="B371" s="25"/>
      <c r="C371" s="15">
        <v>2.5</v>
      </c>
      <c r="D371" s="15" t="s">
        <v>392</v>
      </c>
      <c r="E371" s="13"/>
      <c r="F371" s="29">
        <f>F369</f>
        <v>0</v>
      </c>
      <c r="G371" s="29"/>
      <c r="H371" s="90">
        <f>IF(F371&gt;1,ROUNDUP(F371/C371,0),0)</f>
        <v>0</v>
      </c>
      <c r="I371" s="129" t="s">
        <v>134</v>
      </c>
      <c r="J371" s="8"/>
      <c r="K371" s="8"/>
      <c r="L371" s="8"/>
      <c r="M371" s="8"/>
      <c r="N371" s="8"/>
      <c r="O371" s="8"/>
      <c r="P371" s="8"/>
      <c r="Q371" s="8"/>
      <c r="R371" s="8"/>
    </row>
    <row r="372" spans="1:18">
      <c r="A372" s="12" t="s">
        <v>373</v>
      </c>
      <c r="B372" s="25"/>
      <c r="C372" s="54">
        <f>B113</f>
        <v>190</v>
      </c>
      <c r="D372" s="13" t="s">
        <v>278</v>
      </c>
      <c r="E372" s="13"/>
      <c r="F372" s="29">
        <f>F369</f>
        <v>0</v>
      </c>
      <c r="G372" s="29"/>
      <c r="H372" s="90">
        <f>F370*C372</f>
        <v>0</v>
      </c>
      <c r="I372" s="129" t="s">
        <v>159</v>
      </c>
      <c r="J372" s="8"/>
      <c r="K372" s="8"/>
      <c r="L372" s="8"/>
      <c r="M372" s="8"/>
      <c r="N372" s="8"/>
      <c r="O372" s="8"/>
      <c r="P372" s="8"/>
      <c r="Q372" s="8"/>
      <c r="R372" s="8"/>
    </row>
    <row r="373" spans="1:18">
      <c r="A373" s="15"/>
      <c r="H373" s="90"/>
      <c r="I373" s="130"/>
      <c r="J373" s="8"/>
      <c r="K373" s="8"/>
      <c r="L373" s="8"/>
      <c r="M373" s="8"/>
      <c r="N373" s="8"/>
      <c r="O373" s="8"/>
      <c r="P373" s="8"/>
      <c r="Q373" s="8"/>
      <c r="R373" s="8"/>
    </row>
    <row r="374" spans="1:18">
      <c r="A374" s="116" t="s">
        <v>479</v>
      </c>
      <c r="H374" s="90"/>
      <c r="I374" s="130"/>
      <c r="J374" s="8"/>
      <c r="K374" s="8"/>
      <c r="L374" s="8"/>
      <c r="M374" s="8"/>
      <c r="N374" s="8"/>
      <c r="O374" s="8"/>
      <c r="P374" s="8"/>
      <c r="Q374" s="8"/>
      <c r="R374" s="8"/>
    </row>
    <row r="375" spans="1:18" ht="13.5" thickBot="1">
      <c r="A375" s="26" t="s">
        <v>480</v>
      </c>
      <c r="B375" s="20"/>
      <c r="C375" s="20"/>
      <c r="D375" s="20"/>
      <c r="E375" s="20"/>
      <c r="F375" s="40"/>
      <c r="G375" s="40"/>
      <c r="H375" s="168">
        <f>H369+H370</f>
        <v>0</v>
      </c>
      <c r="I375" s="127" t="s">
        <v>134</v>
      </c>
      <c r="J375" s="8"/>
      <c r="K375" s="8"/>
      <c r="L375" s="8"/>
      <c r="M375" s="8"/>
      <c r="N375" s="8"/>
      <c r="O375" s="8"/>
      <c r="P375" s="8"/>
      <c r="Q375" s="8"/>
      <c r="R375" s="8"/>
    </row>
    <row r="376" spans="1:18">
      <c r="J376" s="8"/>
      <c r="K376" s="8"/>
      <c r="L376" s="8"/>
      <c r="M376" s="8"/>
      <c r="N376" s="8"/>
      <c r="O376" s="8"/>
      <c r="P376" s="8"/>
      <c r="Q376" s="8"/>
      <c r="R376" s="8"/>
    </row>
    <row r="378" spans="1:18" ht="13.5" thickBot="1"/>
    <row r="379" spans="1:18" ht="15.75">
      <c r="A379" s="41" t="s">
        <v>161</v>
      </c>
      <c r="B379" s="27"/>
      <c r="C379" s="27"/>
      <c r="D379" s="10"/>
      <c r="E379" s="10"/>
      <c r="F379" s="10"/>
      <c r="G379" s="10"/>
      <c r="H379" s="10"/>
      <c r="I379" s="10"/>
      <c r="J379" s="10"/>
      <c r="K379" s="10"/>
      <c r="L379" s="11"/>
    </row>
    <row r="380" spans="1:18">
      <c r="A380" s="35" t="s">
        <v>152</v>
      </c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4"/>
    </row>
    <row r="381" spans="1:18">
      <c r="A381" s="12"/>
      <c r="B381" s="45" t="s">
        <v>134</v>
      </c>
      <c r="C381" s="45" t="s">
        <v>135</v>
      </c>
      <c r="D381" s="45" t="s">
        <v>136</v>
      </c>
      <c r="E381" s="45" t="s">
        <v>129</v>
      </c>
      <c r="F381" s="22" t="s">
        <v>130</v>
      </c>
      <c r="G381" s="22" t="s">
        <v>131</v>
      </c>
      <c r="H381" s="22" t="s">
        <v>132</v>
      </c>
      <c r="I381" s="22" t="s">
        <v>126</v>
      </c>
      <c r="J381" s="22" t="s">
        <v>127</v>
      </c>
      <c r="K381" s="22" t="s">
        <v>128</v>
      </c>
      <c r="L381" s="24" t="s">
        <v>65</v>
      </c>
    </row>
    <row r="382" spans="1:18">
      <c r="A382" s="12" t="s">
        <v>470</v>
      </c>
      <c r="B382" s="89">
        <f>ROUNDUP(H222,0)</f>
        <v>0</v>
      </c>
      <c r="C382" s="13">
        <f>ROUNDUP(IF(B382&gt;0, 2*Input!$D$151/35,0),0)</f>
        <v>0</v>
      </c>
      <c r="D382" s="29">
        <f>B382+C382</f>
        <v>0</v>
      </c>
      <c r="E382" s="64">
        <f>IF(D382&lt;=8,IF(D382&gt;0,$G$44,0),0)</f>
        <v>0</v>
      </c>
      <c r="F382" s="64">
        <f>IF(D382&gt;8, IF(D382&lt;40, (Calculations!$G$44*D382/8), 0), 0)</f>
        <v>0</v>
      </c>
      <c r="G382" s="64">
        <f>IF(D382&gt;=40,IF(D382&lt;=160,Calculations!$H$44*D382/40,0),0)</f>
        <v>0</v>
      </c>
      <c r="H382" s="64">
        <f>IF(D382&gt;=160, (Calculations!$I$44*D382/160), 0)</f>
        <v>0</v>
      </c>
      <c r="I382" s="64">
        <f t="shared" ref="I382:I394" si="14">E382+F382+G382+H382</f>
        <v>0</v>
      </c>
      <c r="J382" s="64">
        <f>B382*Calculations!$I$60</f>
        <v>0</v>
      </c>
      <c r="K382" s="64">
        <f>B382*Calculations!$E$85</f>
        <v>0</v>
      </c>
      <c r="L382" s="65">
        <f>SUM(I382:K382)</f>
        <v>0</v>
      </c>
    </row>
    <row r="383" spans="1:18">
      <c r="A383" s="12" t="s">
        <v>471</v>
      </c>
      <c r="B383" s="89">
        <f>H143</f>
        <v>0</v>
      </c>
      <c r="C383" s="13">
        <f>ROUNDUP(IF(B383&gt;0, 2*Input!$D$151/35,0),0)</f>
        <v>0</v>
      </c>
      <c r="D383" s="29">
        <f t="shared" ref="D383:D394" si="15">B383+C383</f>
        <v>0</v>
      </c>
      <c r="E383" s="64">
        <f>IF(D383&lt;=8,IF(D383&gt;0,$G$45,0),0)</f>
        <v>0</v>
      </c>
      <c r="F383" s="64">
        <f>IF(D383&gt;8, IF(D383&lt;40, (Calculations!$G$45*D383/8), 0), 0)</f>
        <v>0</v>
      </c>
      <c r="G383" s="64">
        <f>IF(D383&gt;40,IF(D383&lt;=160,Calculations!$H$45*D383/40,0),0)</f>
        <v>0</v>
      </c>
      <c r="H383" s="64">
        <f>IF(D383&gt;=160, (Calculations!$I$45*D383/160), 0)</f>
        <v>0</v>
      </c>
      <c r="I383" s="64">
        <f t="shared" si="14"/>
        <v>0</v>
      </c>
      <c r="J383" s="64">
        <f>B383*Calculations!$I$61</f>
        <v>0</v>
      </c>
      <c r="K383" s="64">
        <f>B383*Calculations!$E$87</f>
        <v>0</v>
      </c>
      <c r="L383" s="65">
        <f>I383+J383+K383</f>
        <v>0</v>
      </c>
    </row>
    <row r="384" spans="1:18">
      <c r="A384" s="12" t="s">
        <v>561</v>
      </c>
      <c r="B384" s="89">
        <f>ROUNDUP(H132+H297,0)</f>
        <v>0</v>
      </c>
      <c r="C384" s="13">
        <f>ROUNDUP(IF(B384&gt;0, 2*Input!$D$151/35,0),0)</f>
        <v>0</v>
      </c>
      <c r="D384" s="29">
        <f t="shared" si="15"/>
        <v>0</v>
      </c>
      <c r="E384" s="64">
        <f>IF(D384&lt;=8,IF(D384&gt;0,Calculations!$G$46,0),0)</f>
        <v>0</v>
      </c>
      <c r="F384" s="64">
        <f>IF(D384&gt;8, IF(D384&lt;40, (Calculations!$G$46*D384/8), 0), 0)</f>
        <v>0</v>
      </c>
      <c r="G384" s="64">
        <f>IF(D384&gt;=40,IF(D384&lt;=160,Calculations!$H$46*D384/40,0),0)</f>
        <v>0</v>
      </c>
      <c r="H384" s="64">
        <f>IF(D384&gt;=160, (Calculations!$I$46*D384/160), 0)</f>
        <v>0</v>
      </c>
      <c r="I384" s="64">
        <f t="shared" si="14"/>
        <v>0</v>
      </c>
      <c r="J384" s="64">
        <f>B384*Calculations!$I$62</f>
        <v>0</v>
      </c>
      <c r="K384" s="64">
        <f>B384*Calculations!$E$83</f>
        <v>0</v>
      </c>
      <c r="L384" s="65">
        <f t="shared" ref="L384:L394" si="16">SUM(I384:K384)</f>
        <v>0</v>
      </c>
    </row>
    <row r="385" spans="1:12">
      <c r="A385" s="12" t="s">
        <v>472</v>
      </c>
      <c r="B385" s="89">
        <f>ROUNDUP(H180+H200+H218+H226+H227+H231+H252+H262+H290+H353+H358,0)</f>
        <v>0</v>
      </c>
      <c r="C385" s="13">
        <f>ROUNDUP(IF(B385&gt;0, 2*Input!$D$151/35,0),0)</f>
        <v>0</v>
      </c>
      <c r="D385" s="29">
        <f t="shared" si="15"/>
        <v>0</v>
      </c>
      <c r="E385" s="64">
        <f>IF(D385&lt;=8,IF(D385&gt;0,Calculations!$G$47,0),0)</f>
        <v>0</v>
      </c>
      <c r="F385" s="64">
        <f>IF(D385&gt;8, IF(D385&lt;40, (Calculations!$G$47*D385/8), 0), 0)</f>
        <v>0</v>
      </c>
      <c r="G385" s="64">
        <f>IF(D385&gt;=40,IF(D385&lt;=160,Calculations!$H$47*D385/40,0),0)</f>
        <v>0</v>
      </c>
      <c r="H385" s="64">
        <f>IF(D385&gt;=160, (Calculations!$I$47*D385/160), 0)</f>
        <v>0</v>
      </c>
      <c r="I385" s="64">
        <f t="shared" si="14"/>
        <v>0</v>
      </c>
      <c r="J385" s="64">
        <f>B385*Calculations!$I$63</f>
        <v>0</v>
      </c>
      <c r="K385" s="64">
        <f>B385*Calculations!$E$85</f>
        <v>0</v>
      </c>
      <c r="L385" s="65">
        <f t="shared" si="16"/>
        <v>0</v>
      </c>
    </row>
    <row r="386" spans="1:12">
      <c r="A386" s="12" t="s">
        <v>599</v>
      </c>
      <c r="B386" s="89">
        <f>H369</f>
        <v>0</v>
      </c>
      <c r="C386" s="13">
        <f>ROUNDUP(IF(B386&gt;0, 2*Input!$D$151/35,0),0)</f>
        <v>0</v>
      </c>
      <c r="D386" s="29">
        <f t="shared" si="15"/>
        <v>0</v>
      </c>
      <c r="E386" s="64">
        <f>IF(D386&lt;=8,IF(D386&gt;0,Calculations!$G$48,0),0)</f>
        <v>0</v>
      </c>
      <c r="F386" s="64">
        <f>IF(D386&gt;8, IF(D386&lt;40, (Calculations!$G$48*D386/8), 0), 0)</f>
        <v>0</v>
      </c>
      <c r="G386" s="64">
        <f>IF(D386&gt;=40,IF(D386&lt;=160,Calculations!$H$48*D386/40,0),0)</f>
        <v>0</v>
      </c>
      <c r="H386" s="64">
        <f>IF(D386&gt;=160, (Calculations!$I$48*D386/160), 0)</f>
        <v>0</v>
      </c>
      <c r="I386" s="64">
        <f t="shared" si="14"/>
        <v>0</v>
      </c>
      <c r="J386" s="64">
        <f>B386*Calculations!$I$64</f>
        <v>0</v>
      </c>
      <c r="K386" s="64">
        <f>B386*Calculations!$E$84</f>
        <v>0</v>
      </c>
      <c r="L386" s="65">
        <f t="shared" si="16"/>
        <v>0</v>
      </c>
    </row>
    <row r="387" spans="1:12">
      <c r="A387" s="12" t="s">
        <v>473</v>
      </c>
      <c r="B387" s="89">
        <f>ROUNDUP(H122+H147+H160+H173+H206+H230+H233+H261,0)</f>
        <v>0</v>
      </c>
      <c r="C387" s="13">
        <f>ROUNDUP(IF(B387&gt;0, 2*Input!$D$151/35,0),0)</f>
        <v>0</v>
      </c>
      <c r="D387" s="29">
        <f t="shared" si="15"/>
        <v>0</v>
      </c>
      <c r="E387" s="64">
        <f>IF(D387&lt;=8,IF(D387&gt;0,Calculations!$G$49,0),0)</f>
        <v>0</v>
      </c>
      <c r="F387" s="64">
        <f>IF(D387&gt;8, IF(D387&lt;40, (Calculations!$G$49*D387/8), 0), 0)</f>
        <v>0</v>
      </c>
      <c r="G387" s="64">
        <f>IF(D387&gt;=40,IF(D387&lt;=160,Calculations!$H$49*D387/40,0),0)</f>
        <v>0</v>
      </c>
      <c r="H387" s="64">
        <f>IF(D387&gt;=160, (Calculations!$I$49*D387/160), 0)</f>
        <v>0</v>
      </c>
      <c r="I387" s="64">
        <f t="shared" si="14"/>
        <v>0</v>
      </c>
      <c r="J387" s="64">
        <f>B387*Calculations!$I$65</f>
        <v>0</v>
      </c>
      <c r="K387" s="64">
        <f>B387*Calculations!$E$86</f>
        <v>0</v>
      </c>
      <c r="L387" s="65">
        <f t="shared" si="16"/>
        <v>0</v>
      </c>
    </row>
    <row r="388" spans="1:12">
      <c r="A388" s="12" t="s">
        <v>474</v>
      </c>
      <c r="B388" s="89">
        <f>ROUNDUP(H232,0)</f>
        <v>0</v>
      </c>
      <c r="C388" s="13">
        <f>ROUNDUP(IF(B388&gt;0, 2*Input!$D$151/35,0),0)</f>
        <v>0</v>
      </c>
      <c r="D388" s="29">
        <f t="shared" si="15"/>
        <v>0</v>
      </c>
      <c r="E388" s="64">
        <f>IF(D388&lt;=8,IF(D388&gt;0,Calculations!$G$50,0),0)</f>
        <v>0</v>
      </c>
      <c r="F388" s="64">
        <f>IF(D388&gt;8, IF(D388&lt;40, (Calculations!$G$50*D388/8), 0), 0)</f>
        <v>0</v>
      </c>
      <c r="G388" s="64">
        <f>IF(D388&gt;=40,IF(D388&lt;=160,Calculations!$H$50*D388/40,0),0)</f>
        <v>0</v>
      </c>
      <c r="H388" s="64">
        <f>IF(D388&gt;=160, (Calculations!$I$50*D388/160), 0)</f>
        <v>0</v>
      </c>
      <c r="I388" s="64">
        <f t="shared" si="14"/>
        <v>0</v>
      </c>
      <c r="J388" s="64">
        <f>B388*Calculations!$I$66</f>
        <v>0</v>
      </c>
      <c r="K388" s="64">
        <f>B388*Calculations!$E$88</f>
        <v>0</v>
      </c>
      <c r="L388" s="65">
        <f t="shared" si="16"/>
        <v>0</v>
      </c>
    </row>
    <row r="389" spans="1:12">
      <c r="A389" s="12" t="s">
        <v>570</v>
      </c>
      <c r="B389" s="89">
        <f>ROUNDUP(H134+H291,0)</f>
        <v>0</v>
      </c>
      <c r="C389" s="13">
        <f>ROUNDUP(IF(B389&gt;0, 2*Input!$D$151/35,0),0)</f>
        <v>0</v>
      </c>
      <c r="D389" s="29">
        <f t="shared" si="15"/>
        <v>0</v>
      </c>
      <c r="E389" s="64">
        <f>IF(D389&lt;=8,IF(D389&gt;0,Calculations!$G$51,0),0)</f>
        <v>0</v>
      </c>
      <c r="F389" s="64">
        <f>IF(D389&gt;8, IF(D389&lt;40, (Calculations!$G$51*D389/8), 0), 0)</f>
        <v>0</v>
      </c>
      <c r="G389" s="64">
        <f>IF(D389&gt;=40,IF(D389&lt;=160,Calculations!$H$51*D389/40,0),0)</f>
        <v>0</v>
      </c>
      <c r="H389" s="64">
        <f>IF(D389&gt;=160, (Calculations!$I$51*D389/160), 0)</f>
        <v>0</v>
      </c>
      <c r="I389" s="64">
        <f t="shared" si="14"/>
        <v>0</v>
      </c>
      <c r="J389" s="64">
        <f>B389*Calculations!$I$67</f>
        <v>0</v>
      </c>
      <c r="K389" s="64">
        <f>B389*Calculations!$E$85</f>
        <v>0</v>
      </c>
      <c r="L389" s="65">
        <f t="shared" si="16"/>
        <v>0</v>
      </c>
    </row>
    <row r="390" spans="1:12">
      <c r="A390" s="92" t="s">
        <v>475</v>
      </c>
      <c r="B390" s="89">
        <f>ROUNDUP(H370+H371,0)</f>
        <v>0</v>
      </c>
      <c r="C390" s="13">
        <f>ROUNDUP(IF(B390&gt;0, 2*Input!$D$151/35,0),0)</f>
        <v>0</v>
      </c>
      <c r="D390" s="29">
        <f t="shared" si="15"/>
        <v>0</v>
      </c>
      <c r="E390" s="64">
        <f>IF(D390&lt;=8,IF(D390&gt;0,Calculations!$G$52,0),0)</f>
        <v>0</v>
      </c>
      <c r="F390" s="64">
        <f>IF(D390&gt;8, IF(D390&lt;40, (Calculations!$G$52*D390/8), 0), 0)</f>
        <v>0</v>
      </c>
      <c r="G390" s="64">
        <f>IF(D390&gt;=40,IF(D390&lt;=160,Calculations!$H$52*D390/40,0),0)</f>
        <v>0</v>
      </c>
      <c r="H390" s="64">
        <f>IF(D390&gt;=160, (Calculations!$I$52*D390/160), 0)</f>
        <v>0</v>
      </c>
      <c r="I390" s="64">
        <f t="shared" si="14"/>
        <v>0</v>
      </c>
      <c r="J390" s="64">
        <f>B390*Calculations!$I$68</f>
        <v>0</v>
      </c>
      <c r="K390" s="64">
        <f>B390*$E$85</f>
        <v>0</v>
      </c>
      <c r="L390" s="66">
        <f t="shared" si="16"/>
        <v>0</v>
      </c>
    </row>
    <row r="391" spans="1:12">
      <c r="A391" s="92" t="s">
        <v>571</v>
      </c>
      <c r="B391" s="89">
        <f>ROUNDUP(H375,0)</f>
        <v>0</v>
      </c>
      <c r="C391" s="13">
        <f>ROUNDUP(IF(B391&gt;0, 2*Input!$D$151/35,0),0)</f>
        <v>0</v>
      </c>
      <c r="D391" s="29">
        <f t="shared" si="15"/>
        <v>0</v>
      </c>
      <c r="E391" s="64">
        <f>IF(D391&lt;=8,IF(D391&gt;0,Calculations!$G$53,0),0)</f>
        <v>0</v>
      </c>
      <c r="F391" s="64">
        <f>IF(D391&gt;8, IF(D391&lt;40, (Calculations!$G$53*D391/8), 0), 0)</f>
        <v>0</v>
      </c>
      <c r="G391" s="64">
        <f>IF(D391&gt;=40,IF(D391&lt;=160,Calculations!$H$53*D391/40,0),0)</f>
        <v>0</v>
      </c>
      <c r="H391" s="64">
        <f>IF(D391&gt;=160, (Calculations!$I$53*D391/160), 0)</f>
        <v>0</v>
      </c>
      <c r="I391" s="64">
        <f t="shared" si="14"/>
        <v>0</v>
      </c>
      <c r="J391" s="64">
        <f>B391*Calculations!$I$69</f>
        <v>0</v>
      </c>
      <c r="K391" s="64">
        <f>B391*Calculations!$E$88</f>
        <v>0</v>
      </c>
      <c r="L391" s="66">
        <f t="shared" si="16"/>
        <v>0</v>
      </c>
    </row>
    <row r="392" spans="1:12">
      <c r="A392" s="15" t="s">
        <v>476</v>
      </c>
      <c r="B392" s="159">
        <f>H253</f>
        <v>0</v>
      </c>
      <c r="C392" s="13">
        <f>ROUNDUP(IF(B392&gt;0, 2*Input!$D$151/35,0),0)</f>
        <v>0</v>
      </c>
      <c r="D392" s="29">
        <f t="shared" si="15"/>
        <v>0</v>
      </c>
      <c r="E392" s="64">
        <f>IF(D392&lt;=8,IF(D392&gt;0,Calculations!$G$54,0),0)</f>
        <v>0</v>
      </c>
      <c r="F392" s="64">
        <f>IF(D392&gt;8, IF(D392&lt;40, (Calculations!$G$54*D392/8), 0), 0)</f>
        <v>0</v>
      </c>
      <c r="G392" s="64">
        <f>IF(D392&gt;=40,IF(D392&lt;=160,Calculations!$H$54*D392/40,0),0)</f>
        <v>0</v>
      </c>
      <c r="H392" s="64">
        <f>IF(D392&gt;=160, (Calculations!$I$54*D392/160), 0)</f>
        <v>0</v>
      </c>
      <c r="I392" s="64">
        <f t="shared" si="14"/>
        <v>0</v>
      </c>
      <c r="J392" s="64">
        <f>B392*Calculations!$I$70</f>
        <v>0</v>
      </c>
      <c r="K392" s="64">
        <f>B392*Calculations!$E$91</f>
        <v>0</v>
      </c>
      <c r="L392" s="65">
        <f t="shared" si="16"/>
        <v>0</v>
      </c>
    </row>
    <row r="393" spans="1:12">
      <c r="A393" s="12" t="s">
        <v>477</v>
      </c>
      <c r="B393" s="89">
        <f>ROUNDUP(H271+H299+H325,0)</f>
        <v>0</v>
      </c>
      <c r="C393" s="13">
        <f>ROUNDUP(IF(B393&gt;0, 2*Input!$D$151/35,0),0)</f>
        <v>0</v>
      </c>
      <c r="D393" s="29">
        <f t="shared" si="15"/>
        <v>0</v>
      </c>
      <c r="E393" s="64">
        <f>IF(D393&lt;=8,IF(D393&gt;0,Calculations!$G$55,0),0)</f>
        <v>0</v>
      </c>
      <c r="F393" s="64">
        <f>IF(D393&gt;8, IF(D393&lt;40, (Calculations!$G$55*D393/8), 0), 0)</f>
        <v>0</v>
      </c>
      <c r="G393" s="64">
        <f>IF(D393&gt;=40,IF(D393&lt;=160,Calculations!$H$55*D393/40,0),0)</f>
        <v>0</v>
      </c>
      <c r="H393" s="64">
        <f>IF(D393&gt;=160, (Calculations!$I$55*D393/160), 0)</f>
        <v>0</v>
      </c>
      <c r="I393" s="64">
        <f t="shared" si="14"/>
        <v>0</v>
      </c>
      <c r="J393" s="64">
        <f>B393*Calculations!$I$71</f>
        <v>0</v>
      </c>
      <c r="K393" s="64">
        <f>B393*Calculations!$E$85</f>
        <v>0</v>
      </c>
      <c r="L393" s="65">
        <f t="shared" si="16"/>
        <v>0</v>
      </c>
    </row>
    <row r="394" spans="1:12">
      <c r="A394" s="35" t="s">
        <v>555</v>
      </c>
      <c r="B394" s="89">
        <f>H272</f>
        <v>0</v>
      </c>
      <c r="C394" s="13">
        <f>ROUNDUP(IF(B394&gt;0, 2*Input!$D$151/35,0),0)</f>
        <v>0</v>
      </c>
      <c r="D394" s="29">
        <f t="shared" si="15"/>
        <v>0</v>
      </c>
      <c r="E394" s="64">
        <f>IF(D394&lt;=8,IF(D394&gt;0,Calculations!$G$56,0),0)</f>
        <v>0</v>
      </c>
      <c r="F394" s="64">
        <f>IF(D394&gt;8, IF(D394&lt;40, (Calculations!$G$56*D394/8), 0), 0)</f>
        <v>0</v>
      </c>
      <c r="G394" s="64">
        <f>IF(D394&gt;=40,IF(D394&lt;=160,Calculations!$H$56*D394/40,0),0)</f>
        <v>0</v>
      </c>
      <c r="H394" s="64">
        <f>IF(D394&gt;=160, (Calculations!$I$56*D394/160), 0)</f>
        <v>0</v>
      </c>
      <c r="I394" s="64">
        <f t="shared" si="14"/>
        <v>0</v>
      </c>
      <c r="J394" s="64">
        <f>B394*Calculations!$I$72</f>
        <v>0</v>
      </c>
      <c r="K394" s="64">
        <f>B394*Calculations!$E$90</f>
        <v>0</v>
      </c>
      <c r="L394" s="65">
        <f t="shared" si="16"/>
        <v>0</v>
      </c>
    </row>
    <row r="395" spans="1:12">
      <c r="A395" s="12" t="s">
        <v>399</v>
      </c>
      <c r="B395" s="160">
        <f>H185+H188+H220+H225+H254+H255+H273+H300+H306+H326</f>
        <v>0</v>
      </c>
      <c r="C395" s="13"/>
      <c r="D395" s="29"/>
      <c r="E395" s="64"/>
      <c r="F395" s="64"/>
      <c r="G395" s="64"/>
      <c r="H395" s="64"/>
      <c r="I395" s="64"/>
      <c r="J395" s="64"/>
      <c r="K395" s="68">
        <f>B395</f>
        <v>0</v>
      </c>
      <c r="L395" s="67">
        <f>K395</f>
        <v>0</v>
      </c>
    </row>
    <row r="396" spans="1:12">
      <c r="A396" s="35" t="s">
        <v>151</v>
      </c>
      <c r="B396" s="29"/>
      <c r="C396" s="13"/>
      <c r="D396" s="29"/>
      <c r="E396" s="64"/>
      <c r="F396" s="64"/>
      <c r="G396" s="64"/>
      <c r="H396" s="64"/>
      <c r="I396" s="64"/>
      <c r="J396" s="64"/>
      <c r="K396" s="64">
        <f>SUM(K382:K395)</f>
        <v>0</v>
      </c>
      <c r="L396" s="66">
        <f>SUM(L382:L395)</f>
        <v>0</v>
      </c>
    </row>
    <row r="397" spans="1:12">
      <c r="B397" s="13"/>
      <c r="C397" s="13"/>
      <c r="D397" s="13"/>
      <c r="E397" s="64"/>
      <c r="F397" s="64"/>
      <c r="G397" s="64"/>
      <c r="H397" s="64"/>
      <c r="I397" s="64"/>
      <c r="J397" s="64"/>
      <c r="K397" s="64"/>
      <c r="L397" s="67"/>
    </row>
    <row r="398" spans="1:12">
      <c r="A398" s="12" t="s">
        <v>154</v>
      </c>
      <c r="B398" s="13"/>
      <c r="C398" s="13"/>
      <c r="D398" s="13"/>
      <c r="E398" s="64"/>
      <c r="F398" s="64"/>
      <c r="G398" s="64"/>
      <c r="H398" s="64"/>
      <c r="I398" s="64"/>
      <c r="J398" s="64"/>
      <c r="K398" s="64"/>
      <c r="L398" s="65"/>
    </row>
    <row r="399" spans="1:12">
      <c r="A399" s="38" t="s">
        <v>297</v>
      </c>
      <c r="B399" s="13"/>
      <c r="C399" s="13"/>
      <c r="D399" s="160">
        <f>SUM(C382+C383+C384+C385+C386+C387+C388+C389+C390+C391+C392+C393+C394)*B98</f>
        <v>0</v>
      </c>
      <c r="E399" s="13"/>
      <c r="F399" s="13"/>
      <c r="G399" s="13"/>
      <c r="H399" s="13"/>
      <c r="I399" s="13"/>
      <c r="J399" s="13"/>
      <c r="K399" s="13"/>
      <c r="L399" s="14"/>
    </row>
    <row r="400" spans="1:12">
      <c r="A400" s="38" t="s">
        <v>422</v>
      </c>
      <c r="B400" s="13"/>
      <c r="C400" s="13"/>
      <c r="D400" s="161">
        <f>IF(Input!H70="Yes",Calculations!F202*B95+1000,0)+IF(Input!H71="Yes",Calculations!F203*B95,0)+IF(Input!H72="Yes",Calculations!F204*B95,0)+IF(Input!H73="Yes",Calculations!F205*B95,0)</f>
        <v>0</v>
      </c>
      <c r="E400" s="13"/>
      <c r="F400" s="13"/>
      <c r="G400" s="13"/>
      <c r="H400" s="13"/>
      <c r="I400" s="13"/>
      <c r="J400" s="13"/>
      <c r="K400" s="13"/>
      <c r="L400" s="14"/>
    </row>
    <row r="401" spans="1:12">
      <c r="A401" s="38" t="s">
        <v>397</v>
      </c>
      <c r="B401" s="13"/>
      <c r="C401" s="13"/>
      <c r="D401" s="160">
        <f>H319+H332+H337+H345+H364+H298</f>
        <v>0</v>
      </c>
      <c r="E401" s="13"/>
      <c r="F401" s="13"/>
      <c r="G401" s="13"/>
      <c r="H401" s="13"/>
      <c r="I401" s="13"/>
      <c r="J401" s="13"/>
      <c r="K401" s="13"/>
      <c r="L401" s="14"/>
    </row>
    <row r="402" spans="1:12">
      <c r="A402" s="133" t="s">
        <v>507</v>
      </c>
      <c r="B402" s="13"/>
      <c r="C402" s="13"/>
      <c r="D402" s="160">
        <f>H135+H257+H264+H293+H301+H307+H320+H327+H333+H338+H346+H354+H365</f>
        <v>0</v>
      </c>
      <c r="E402" s="13"/>
      <c r="F402" s="13"/>
      <c r="G402" s="13"/>
      <c r="H402" s="13"/>
      <c r="I402" s="13"/>
      <c r="J402" s="13"/>
      <c r="K402" s="13"/>
      <c r="L402" s="14"/>
    </row>
    <row r="403" spans="1:12">
      <c r="A403" s="38" t="s">
        <v>281</v>
      </c>
      <c r="B403" s="13"/>
      <c r="C403" s="13"/>
      <c r="D403" s="160">
        <f>H137+H258+H265+H294+H302+H355+H366</f>
        <v>0</v>
      </c>
      <c r="E403" s="13"/>
      <c r="F403" s="13"/>
      <c r="G403" s="13"/>
      <c r="H403" s="13"/>
      <c r="I403" s="13"/>
      <c r="J403" s="13"/>
      <c r="K403" s="13"/>
      <c r="L403" s="14"/>
    </row>
    <row r="404" spans="1:12">
      <c r="A404" s="38" t="s">
        <v>80</v>
      </c>
      <c r="B404" s="13"/>
      <c r="C404" s="13"/>
      <c r="D404" s="160">
        <f>H181+H184+H187+H221+H305+H372</f>
        <v>0</v>
      </c>
      <c r="E404" s="13"/>
      <c r="F404" s="13"/>
      <c r="G404" s="13"/>
      <c r="H404" s="13"/>
      <c r="I404" s="13"/>
      <c r="J404" s="13"/>
      <c r="K404" s="13"/>
      <c r="L404" s="14"/>
    </row>
    <row r="405" spans="1:12">
      <c r="A405" s="38" t="s">
        <v>510</v>
      </c>
      <c r="B405" s="13"/>
      <c r="C405" s="13"/>
      <c r="D405" s="161">
        <f>H308+H321+H328+H329+H334+H339+H342+H347+H350</f>
        <v>0</v>
      </c>
      <c r="E405" s="13"/>
      <c r="F405" s="13"/>
      <c r="G405" s="13"/>
      <c r="H405" s="13"/>
      <c r="I405" s="13"/>
      <c r="J405" s="13"/>
      <c r="K405" s="13"/>
      <c r="L405" s="14"/>
    </row>
    <row r="406" spans="1:12">
      <c r="A406" s="38" t="s">
        <v>406</v>
      </c>
      <c r="B406" s="13"/>
      <c r="C406" s="13"/>
      <c r="D406" s="162">
        <f>IF(Input!D153="x",6000,0)</f>
        <v>0</v>
      </c>
      <c r="E406" s="13"/>
      <c r="F406" s="13"/>
      <c r="G406" s="13"/>
      <c r="H406" s="13"/>
      <c r="I406" s="13"/>
      <c r="J406" s="13"/>
      <c r="K406" s="13"/>
      <c r="L406" s="65"/>
    </row>
    <row r="407" spans="1:12">
      <c r="A407" s="38" t="s">
        <v>518</v>
      </c>
      <c r="B407" s="13"/>
      <c r="C407" s="13"/>
      <c r="D407" s="162">
        <f>H237</f>
        <v>0</v>
      </c>
      <c r="E407" s="13"/>
      <c r="F407" s="13"/>
      <c r="G407" s="13"/>
      <c r="H407" s="13"/>
      <c r="I407" s="13"/>
      <c r="J407" s="13"/>
      <c r="K407" s="13"/>
      <c r="L407" s="65"/>
    </row>
    <row r="408" spans="1:12">
      <c r="A408" s="86" t="s">
        <v>519</v>
      </c>
      <c r="D408" s="162">
        <f>H241</f>
        <v>0</v>
      </c>
      <c r="E408" s="13"/>
      <c r="F408" s="13"/>
      <c r="G408" s="13"/>
      <c r="H408" s="13"/>
      <c r="I408" s="13"/>
      <c r="J408" s="13"/>
      <c r="K408" s="13"/>
      <c r="L408" s="65"/>
    </row>
    <row r="409" spans="1:12">
      <c r="A409" s="12" t="s">
        <v>155</v>
      </c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65">
        <f>SUM(D399:D408)</f>
        <v>0</v>
      </c>
    </row>
    <row r="410" spans="1:12">
      <c r="A410" s="12" t="s">
        <v>444</v>
      </c>
      <c r="B410" s="13"/>
      <c r="C410" s="13"/>
      <c r="D410" s="140">
        <v>0.18</v>
      </c>
      <c r="E410" s="13"/>
      <c r="F410" s="13"/>
      <c r="G410" s="13"/>
      <c r="H410" s="13"/>
      <c r="I410" s="13"/>
      <c r="J410" s="13"/>
      <c r="K410" s="13"/>
      <c r="L410" s="65">
        <f>(L396)*D410</f>
        <v>0</v>
      </c>
    </row>
    <row r="411" spans="1:12">
      <c r="A411" s="12" t="s">
        <v>445</v>
      </c>
      <c r="B411" s="13"/>
      <c r="C411" s="13"/>
      <c r="D411" s="140">
        <v>0.1</v>
      </c>
      <c r="E411" s="13"/>
      <c r="F411" s="13"/>
      <c r="G411" s="13"/>
      <c r="H411" s="13"/>
      <c r="I411" s="13"/>
      <c r="J411" s="13"/>
      <c r="K411" s="13"/>
      <c r="L411" s="65">
        <f>L409*D411</f>
        <v>0</v>
      </c>
    </row>
    <row r="412" spans="1:12">
      <c r="A412" s="35" t="s">
        <v>515</v>
      </c>
      <c r="B412" s="13"/>
      <c r="C412" s="13"/>
      <c r="D412" s="140">
        <v>0.03</v>
      </c>
      <c r="E412" s="13"/>
      <c r="F412" s="13"/>
      <c r="G412" s="13"/>
      <c r="H412" s="13"/>
      <c r="I412" s="13"/>
      <c r="J412" s="13"/>
      <c r="K412" s="13"/>
      <c r="L412" s="65">
        <f>L396*D412</f>
        <v>0</v>
      </c>
    </row>
    <row r="413" spans="1:12">
      <c r="A413" s="12" t="s">
        <v>153</v>
      </c>
      <c r="B413" s="13"/>
      <c r="C413" s="13"/>
      <c r="D413" s="141">
        <v>1.4999999999999999E-2</v>
      </c>
      <c r="E413" s="13"/>
      <c r="F413" s="13"/>
      <c r="G413" s="13"/>
      <c r="H413" s="13"/>
      <c r="I413" s="13"/>
      <c r="J413" s="13"/>
      <c r="K413" s="13"/>
      <c r="L413" s="66">
        <f>(K396)*D413</f>
        <v>0</v>
      </c>
    </row>
    <row r="414" spans="1:12">
      <c r="A414" s="35" t="s">
        <v>516</v>
      </c>
      <c r="B414" s="13"/>
      <c r="C414" s="13"/>
      <c r="D414" s="141">
        <v>0.1</v>
      </c>
      <c r="E414" s="13"/>
      <c r="F414" s="13"/>
      <c r="G414" s="13"/>
      <c r="H414" s="13"/>
      <c r="I414" s="13"/>
      <c r="J414" s="13"/>
      <c r="K414" s="13"/>
      <c r="L414" s="67">
        <f>L396*D414</f>
        <v>0</v>
      </c>
    </row>
    <row r="415" spans="1:12">
      <c r="A415" s="12" t="s">
        <v>156</v>
      </c>
      <c r="B415" s="13"/>
      <c r="C415" s="13"/>
      <c r="D415" s="139"/>
      <c r="E415" s="29"/>
      <c r="F415" s="29"/>
      <c r="G415" s="29"/>
      <c r="H415" s="29"/>
      <c r="I415" s="13"/>
      <c r="J415" s="13"/>
      <c r="K415" s="13"/>
      <c r="L415" s="65">
        <f>SUM(L396:L414)</f>
        <v>0</v>
      </c>
    </row>
    <row r="416" spans="1:12">
      <c r="A416" s="35" t="s">
        <v>521</v>
      </c>
      <c r="B416" s="13"/>
      <c r="C416" s="13"/>
      <c r="D416" s="140">
        <v>0.1</v>
      </c>
      <c r="E416" s="29"/>
      <c r="F416" s="29"/>
      <c r="G416" s="29"/>
      <c r="H416" s="29"/>
      <c r="I416" s="13"/>
      <c r="J416" s="13"/>
      <c r="K416" s="13"/>
      <c r="L416" s="66">
        <f>IF(L415&gt;100000,L415*D416, 0)</f>
        <v>0</v>
      </c>
    </row>
    <row r="417" spans="1:12">
      <c r="A417" s="164" t="s">
        <v>517</v>
      </c>
      <c r="B417" s="29"/>
      <c r="C417" s="29"/>
      <c r="D417" s="141">
        <v>0.17100000000000001</v>
      </c>
      <c r="E417" s="29"/>
      <c r="F417" s="29"/>
      <c r="G417" s="29"/>
      <c r="H417" s="29"/>
      <c r="I417" s="13"/>
      <c r="J417" s="13"/>
      <c r="K417" s="13"/>
      <c r="L417" s="67">
        <f>L415*D417</f>
        <v>0</v>
      </c>
    </row>
    <row r="418" spans="1:12" ht="16.5" thickBot="1">
      <c r="A418" s="49" t="s">
        <v>157</v>
      </c>
      <c r="B418" s="40"/>
      <c r="C418" s="40"/>
      <c r="D418" s="40"/>
      <c r="E418" s="40"/>
      <c r="F418" s="40"/>
      <c r="G418" s="40"/>
      <c r="H418" s="40"/>
      <c r="I418" s="20"/>
      <c r="J418" s="20"/>
      <c r="K418" s="20"/>
      <c r="L418" s="163">
        <f>SUM(L415:L417)</f>
        <v>0</v>
      </c>
    </row>
  </sheetData>
  <sheetProtection password="CD94" sheet="1" objects="1" scenarios="1" selectLockedCells="1"/>
  <phoneticPr fontId="12" type="noConversion"/>
  <printOptions headings="1" gridLines="1"/>
  <pageMargins left="0.75" right="0.75" top="1" bottom="1" header="0.5" footer="0.5"/>
  <pageSetup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60"/>
  <sheetViews>
    <sheetView topLeftCell="A16" workbookViewId="0">
      <selection activeCell="D39" sqref="D39"/>
    </sheetView>
  </sheetViews>
  <sheetFormatPr defaultRowHeight="12.75"/>
  <cols>
    <col min="1" max="1" width="25.28515625" customWidth="1"/>
    <col min="2" max="2" width="3.85546875" customWidth="1"/>
    <col min="3" max="3" width="13.140625" customWidth="1"/>
    <col min="4" max="4" width="7.7109375" customWidth="1"/>
    <col min="5" max="5" width="12.140625" customWidth="1"/>
    <col min="6" max="6" width="7.7109375" customWidth="1"/>
    <col min="7" max="7" width="14" customWidth="1"/>
    <col min="8" max="8" width="7.7109375" customWidth="1"/>
  </cols>
  <sheetData>
    <row r="1" spans="1:11">
      <c r="A1" s="57" t="s">
        <v>446</v>
      </c>
      <c r="J1" s="2" t="s">
        <v>270</v>
      </c>
      <c r="K1" s="2" t="s">
        <v>229</v>
      </c>
    </row>
    <row r="2" spans="1:11">
      <c r="A2" s="171" t="s">
        <v>525</v>
      </c>
      <c r="J2" s="2"/>
      <c r="K2" s="2"/>
    </row>
    <row r="3" spans="1:11">
      <c r="A3" s="57"/>
      <c r="J3" s="80" t="s">
        <v>512</v>
      </c>
      <c r="K3" s="80" t="s">
        <v>513</v>
      </c>
    </row>
    <row r="4" spans="1:11">
      <c r="A4" s="57" t="s">
        <v>284</v>
      </c>
      <c r="B4" t="s">
        <v>16</v>
      </c>
      <c r="C4" s="4" t="s">
        <v>6</v>
      </c>
      <c r="D4" s="169">
        <f>Input!D16</f>
        <v>0</v>
      </c>
      <c r="E4" s="4" t="s">
        <v>7</v>
      </c>
      <c r="F4" s="170">
        <f>Input!F16</f>
        <v>0</v>
      </c>
      <c r="G4" s="2" t="s">
        <v>269</v>
      </c>
      <c r="H4" s="170">
        <f>Input!H16</f>
        <v>0</v>
      </c>
      <c r="I4" t="s">
        <v>271</v>
      </c>
      <c r="J4" s="2">
        <f>(F4*H4*D4)/2</f>
        <v>0</v>
      </c>
      <c r="K4" s="2">
        <f>(F4+2.3*H4)*D4</f>
        <v>0</v>
      </c>
    </row>
    <row r="5" spans="1:11">
      <c r="B5" t="s">
        <v>17</v>
      </c>
      <c r="C5" s="4" t="s">
        <v>6</v>
      </c>
      <c r="D5" s="169">
        <f>Input!D17</f>
        <v>0</v>
      </c>
      <c r="E5" s="4" t="s">
        <v>7</v>
      </c>
      <c r="F5" s="170">
        <f>Input!F17</f>
        <v>0</v>
      </c>
      <c r="G5" s="2" t="s">
        <v>269</v>
      </c>
      <c r="H5" s="170">
        <f>Input!H17</f>
        <v>0</v>
      </c>
      <c r="I5" t="s">
        <v>582</v>
      </c>
      <c r="J5" s="2">
        <f t="shared" ref="J5:J18" si="0">(F5*H5*D5)/2</f>
        <v>0</v>
      </c>
      <c r="K5" s="2">
        <f t="shared" ref="K5:K18" si="1">(F5+2.3*H5)*D5</f>
        <v>0</v>
      </c>
    </row>
    <row r="6" spans="1:11">
      <c r="B6" t="s">
        <v>18</v>
      </c>
      <c r="C6" s="4" t="s">
        <v>6</v>
      </c>
      <c r="D6" s="169">
        <f>Input!D18</f>
        <v>0</v>
      </c>
      <c r="E6" s="4" t="s">
        <v>7</v>
      </c>
      <c r="F6" s="170">
        <f>Input!F18</f>
        <v>0</v>
      </c>
      <c r="G6" s="2" t="s">
        <v>269</v>
      </c>
      <c r="H6" s="170">
        <f>Input!H18</f>
        <v>0</v>
      </c>
      <c r="I6" t="s">
        <v>583</v>
      </c>
      <c r="J6" s="2">
        <f t="shared" si="0"/>
        <v>0</v>
      </c>
      <c r="K6" s="2">
        <f t="shared" si="1"/>
        <v>0</v>
      </c>
    </row>
    <row r="7" spans="1:11">
      <c r="B7" s="16" t="s">
        <v>243</v>
      </c>
      <c r="C7" s="4" t="s">
        <v>6</v>
      </c>
      <c r="D7" s="58"/>
      <c r="E7" s="4" t="s">
        <v>7</v>
      </c>
      <c r="F7" s="59"/>
      <c r="G7" s="4" t="s">
        <v>268</v>
      </c>
      <c r="H7" s="59"/>
      <c r="J7" s="2">
        <f t="shared" si="0"/>
        <v>0</v>
      </c>
      <c r="K7" s="2">
        <f t="shared" si="1"/>
        <v>0</v>
      </c>
    </row>
    <row r="8" spans="1:11">
      <c r="B8" s="16" t="s">
        <v>244</v>
      </c>
      <c r="C8" s="4" t="s">
        <v>6</v>
      </c>
      <c r="D8" s="58"/>
      <c r="E8" s="4" t="s">
        <v>7</v>
      </c>
      <c r="F8" s="59"/>
      <c r="G8" s="4" t="s">
        <v>268</v>
      </c>
      <c r="H8" s="59"/>
      <c r="J8" s="2">
        <f t="shared" si="0"/>
        <v>0</v>
      </c>
      <c r="K8" s="2">
        <f t="shared" si="1"/>
        <v>0</v>
      </c>
    </row>
    <row r="9" spans="1:11">
      <c r="B9" s="16" t="s">
        <v>245</v>
      </c>
      <c r="C9" s="4" t="s">
        <v>6</v>
      </c>
      <c r="D9" s="58"/>
      <c r="E9" s="4" t="s">
        <v>7</v>
      </c>
      <c r="F9" s="59"/>
      <c r="G9" s="4" t="s">
        <v>268</v>
      </c>
      <c r="H9" s="59"/>
      <c r="J9" s="2">
        <f t="shared" si="0"/>
        <v>0</v>
      </c>
      <c r="K9" s="2">
        <f t="shared" si="1"/>
        <v>0</v>
      </c>
    </row>
    <row r="10" spans="1:11">
      <c r="B10" s="50" t="s">
        <v>246</v>
      </c>
      <c r="C10" s="4" t="s">
        <v>6</v>
      </c>
      <c r="D10" s="58"/>
      <c r="E10" s="4" t="s">
        <v>7</v>
      </c>
      <c r="F10" s="59"/>
      <c r="G10" s="4" t="s">
        <v>268</v>
      </c>
      <c r="H10" s="59"/>
      <c r="J10" s="2">
        <f t="shared" si="0"/>
        <v>0</v>
      </c>
      <c r="K10" s="2">
        <f t="shared" si="1"/>
        <v>0</v>
      </c>
    </row>
    <row r="11" spans="1:11">
      <c r="B11" s="50" t="s">
        <v>247</v>
      </c>
      <c r="C11" s="4" t="s">
        <v>6</v>
      </c>
      <c r="D11" s="58"/>
      <c r="E11" s="4" t="s">
        <v>7</v>
      </c>
      <c r="F11" s="59"/>
      <c r="G11" s="4" t="s">
        <v>268</v>
      </c>
      <c r="H11" s="59"/>
      <c r="J11" s="2">
        <f t="shared" si="0"/>
        <v>0</v>
      </c>
      <c r="K11" s="2">
        <f t="shared" si="1"/>
        <v>0</v>
      </c>
    </row>
    <row r="12" spans="1:11">
      <c r="B12" s="50" t="s">
        <v>248</v>
      </c>
      <c r="C12" s="4" t="s">
        <v>6</v>
      </c>
      <c r="D12" s="58"/>
      <c r="E12" s="4" t="s">
        <v>7</v>
      </c>
      <c r="F12" s="59"/>
      <c r="G12" s="4" t="s">
        <v>268</v>
      </c>
      <c r="H12" s="59"/>
      <c r="J12" s="2">
        <f t="shared" si="0"/>
        <v>0</v>
      </c>
      <c r="K12" s="2">
        <f t="shared" si="1"/>
        <v>0</v>
      </c>
    </row>
    <row r="13" spans="1:11">
      <c r="B13" s="50" t="s">
        <v>249</v>
      </c>
      <c r="C13" s="4" t="s">
        <v>6</v>
      </c>
      <c r="D13" s="58"/>
      <c r="E13" s="4" t="s">
        <v>7</v>
      </c>
      <c r="F13" s="59"/>
      <c r="G13" s="4" t="s">
        <v>268</v>
      </c>
      <c r="H13" s="59"/>
      <c r="J13" s="2">
        <f t="shared" si="0"/>
        <v>0</v>
      </c>
      <c r="K13" s="2">
        <f t="shared" si="1"/>
        <v>0</v>
      </c>
    </row>
    <row r="14" spans="1:11">
      <c r="B14" s="50" t="s">
        <v>250</v>
      </c>
      <c r="C14" s="4" t="s">
        <v>6</v>
      </c>
      <c r="D14" s="58"/>
      <c r="E14" s="4" t="s">
        <v>7</v>
      </c>
      <c r="F14" s="59"/>
      <c r="G14" s="4" t="s">
        <v>268</v>
      </c>
      <c r="H14" s="59"/>
      <c r="J14" s="2">
        <f t="shared" si="0"/>
        <v>0</v>
      </c>
      <c r="K14" s="2">
        <f t="shared" si="1"/>
        <v>0</v>
      </c>
    </row>
    <row r="15" spans="1:11">
      <c r="B15" s="50" t="s">
        <v>251</v>
      </c>
      <c r="C15" s="4" t="s">
        <v>6</v>
      </c>
      <c r="D15" s="58"/>
      <c r="E15" s="4" t="s">
        <v>7</v>
      </c>
      <c r="F15" s="59"/>
      <c r="G15" s="4" t="s">
        <v>268</v>
      </c>
      <c r="H15" s="59"/>
      <c r="J15" s="2">
        <f t="shared" si="0"/>
        <v>0</v>
      </c>
      <c r="K15" s="2">
        <f t="shared" si="1"/>
        <v>0</v>
      </c>
    </row>
    <row r="16" spans="1:11">
      <c r="B16" s="50" t="s">
        <v>252</v>
      </c>
      <c r="C16" s="4" t="s">
        <v>6</v>
      </c>
      <c r="D16" s="58"/>
      <c r="E16" s="4" t="s">
        <v>7</v>
      </c>
      <c r="F16" s="59"/>
      <c r="G16" s="2" t="s">
        <v>269</v>
      </c>
      <c r="H16" s="59"/>
      <c r="J16" s="2">
        <f t="shared" si="0"/>
        <v>0</v>
      </c>
      <c r="K16" s="2">
        <f t="shared" si="1"/>
        <v>0</v>
      </c>
    </row>
    <row r="17" spans="1:11">
      <c r="B17" s="50" t="s">
        <v>253</v>
      </c>
      <c r="C17" s="4" t="s">
        <v>6</v>
      </c>
      <c r="D17" s="58"/>
      <c r="E17" s="4" t="s">
        <v>7</v>
      </c>
      <c r="F17" s="59"/>
      <c r="G17" s="2" t="s">
        <v>269</v>
      </c>
      <c r="H17" s="59"/>
      <c r="J17" s="2">
        <f t="shared" si="0"/>
        <v>0</v>
      </c>
      <c r="K17" s="2">
        <f t="shared" si="1"/>
        <v>0</v>
      </c>
    </row>
    <row r="18" spans="1:11">
      <c r="B18" s="50" t="s">
        <v>254</v>
      </c>
      <c r="C18" s="4" t="s">
        <v>6</v>
      </c>
      <c r="D18" s="58"/>
      <c r="E18" s="4" t="s">
        <v>7</v>
      </c>
      <c r="F18" s="59"/>
      <c r="G18" s="2" t="s">
        <v>269</v>
      </c>
      <c r="H18" s="59"/>
      <c r="J18" s="2">
        <f t="shared" si="0"/>
        <v>0</v>
      </c>
      <c r="K18" s="2">
        <f t="shared" si="1"/>
        <v>0</v>
      </c>
    </row>
    <row r="19" spans="1:11">
      <c r="B19" s="50"/>
      <c r="C19" s="4"/>
      <c r="D19" s="7"/>
      <c r="E19" s="4"/>
      <c r="F19" s="3"/>
      <c r="G19" s="2"/>
      <c r="H19" s="3"/>
      <c r="I19" s="2" t="s">
        <v>223</v>
      </c>
      <c r="J19" s="2">
        <f>SUM(J4:J18)</f>
        <v>0</v>
      </c>
      <c r="K19" s="2">
        <f>SUM(K4:K18)</f>
        <v>0</v>
      </c>
    </row>
    <row r="20" spans="1:11">
      <c r="B20" s="50"/>
      <c r="C20" s="4"/>
      <c r="D20" s="7"/>
      <c r="E20" s="4"/>
      <c r="F20" s="3"/>
      <c r="G20" s="2"/>
      <c r="H20" s="3"/>
      <c r="I20" s="2"/>
      <c r="J20" s="2"/>
      <c r="K20" s="2"/>
    </row>
    <row r="21" spans="1:11">
      <c r="H21" s="2"/>
      <c r="J21" s="2" t="s">
        <v>229</v>
      </c>
      <c r="K21" s="2"/>
    </row>
    <row r="22" spans="1:11">
      <c r="A22" s="57" t="s">
        <v>300</v>
      </c>
      <c r="B22" t="s">
        <v>16</v>
      </c>
      <c r="C22" s="4" t="s">
        <v>6</v>
      </c>
      <c r="D22" s="169">
        <f>Input!D21</f>
        <v>0</v>
      </c>
      <c r="E22" s="4" t="s">
        <v>7</v>
      </c>
      <c r="F22" s="170">
        <f>Input!F21</f>
        <v>0</v>
      </c>
      <c r="G22" t="s">
        <v>271</v>
      </c>
      <c r="H22" s="2"/>
      <c r="J22" s="2">
        <f>D22*F22</f>
        <v>0</v>
      </c>
      <c r="K22" s="2"/>
    </row>
    <row r="23" spans="1:11">
      <c r="B23" t="s">
        <v>17</v>
      </c>
      <c r="C23" s="4" t="s">
        <v>6</v>
      </c>
      <c r="D23" s="169">
        <f>Input!D22</f>
        <v>0</v>
      </c>
      <c r="E23" s="4" t="s">
        <v>7</v>
      </c>
      <c r="F23" s="170">
        <f>Input!F22</f>
        <v>0</v>
      </c>
      <c r="G23" t="s">
        <v>581</v>
      </c>
      <c r="H23" s="2"/>
      <c r="J23" s="2">
        <f t="shared" ref="J23:J31" si="2">D23*F23</f>
        <v>0</v>
      </c>
      <c r="K23" s="2"/>
    </row>
    <row r="24" spans="1:11">
      <c r="B24" t="s">
        <v>18</v>
      </c>
      <c r="C24" s="4" t="s">
        <v>6</v>
      </c>
      <c r="D24" s="169">
        <f>Input!D23</f>
        <v>0</v>
      </c>
      <c r="E24" s="4" t="s">
        <v>7</v>
      </c>
      <c r="F24" s="170">
        <f>Input!F23</f>
        <v>0</v>
      </c>
      <c r="H24" s="2"/>
      <c r="J24" s="2">
        <f t="shared" si="2"/>
        <v>0</v>
      </c>
      <c r="K24" s="2"/>
    </row>
    <row r="25" spans="1:11">
      <c r="B25" s="16" t="s">
        <v>243</v>
      </c>
      <c r="C25" s="4" t="s">
        <v>6</v>
      </c>
      <c r="D25" s="58"/>
      <c r="E25" s="4" t="s">
        <v>7</v>
      </c>
      <c r="F25" s="59"/>
      <c r="H25" s="2"/>
      <c r="J25" s="2">
        <f t="shared" si="2"/>
        <v>0</v>
      </c>
      <c r="K25" s="2"/>
    </row>
    <row r="26" spans="1:11">
      <c r="B26" s="16" t="s">
        <v>244</v>
      </c>
      <c r="C26" s="4" t="s">
        <v>6</v>
      </c>
      <c r="D26" s="58"/>
      <c r="E26" s="4" t="s">
        <v>7</v>
      </c>
      <c r="F26" s="59"/>
      <c r="H26" s="2"/>
      <c r="J26" s="2">
        <f t="shared" si="2"/>
        <v>0</v>
      </c>
      <c r="K26" s="2"/>
    </row>
    <row r="27" spans="1:11">
      <c r="B27" s="16" t="s">
        <v>245</v>
      </c>
      <c r="C27" s="4" t="s">
        <v>6</v>
      </c>
      <c r="D27" s="58"/>
      <c r="E27" s="4" t="s">
        <v>7</v>
      </c>
      <c r="F27" s="59"/>
      <c r="H27" s="2"/>
      <c r="J27" s="2">
        <f t="shared" si="2"/>
        <v>0</v>
      </c>
      <c r="K27" s="2"/>
    </row>
    <row r="28" spans="1:11">
      <c r="B28" s="50" t="s">
        <v>246</v>
      </c>
      <c r="C28" s="4" t="s">
        <v>6</v>
      </c>
      <c r="D28" s="58"/>
      <c r="E28" s="4" t="s">
        <v>7</v>
      </c>
      <c r="F28" s="59"/>
      <c r="H28" s="2"/>
      <c r="J28" s="2">
        <f t="shared" si="2"/>
        <v>0</v>
      </c>
      <c r="K28" s="2"/>
    </row>
    <row r="29" spans="1:11">
      <c r="B29" s="50" t="s">
        <v>247</v>
      </c>
      <c r="C29" s="4" t="s">
        <v>6</v>
      </c>
      <c r="D29" s="58"/>
      <c r="E29" s="4" t="s">
        <v>7</v>
      </c>
      <c r="F29" s="59"/>
      <c r="H29" s="2"/>
      <c r="J29" s="2">
        <f t="shared" si="2"/>
        <v>0</v>
      </c>
      <c r="K29" s="2"/>
    </row>
    <row r="30" spans="1:11">
      <c r="B30" s="50" t="s">
        <v>248</v>
      </c>
      <c r="C30" s="4" t="s">
        <v>6</v>
      </c>
      <c r="D30" s="58"/>
      <c r="E30" s="4" t="s">
        <v>7</v>
      </c>
      <c r="F30" s="59"/>
      <c r="H30" s="2"/>
      <c r="J30" s="2">
        <f t="shared" si="2"/>
        <v>0</v>
      </c>
      <c r="K30" s="2"/>
    </row>
    <row r="31" spans="1:11">
      <c r="B31" s="50" t="s">
        <v>249</v>
      </c>
      <c r="C31" s="4" t="s">
        <v>6</v>
      </c>
      <c r="D31" s="58"/>
      <c r="E31" s="4" t="s">
        <v>7</v>
      </c>
      <c r="F31" s="59"/>
      <c r="H31" s="2"/>
      <c r="J31" s="2">
        <f t="shared" si="2"/>
        <v>0</v>
      </c>
      <c r="K31" s="2"/>
    </row>
    <row r="32" spans="1:11">
      <c r="H32" s="2"/>
      <c r="I32" t="s">
        <v>223</v>
      </c>
      <c r="J32" s="2">
        <f>SUM(J22:J31)</f>
        <v>0</v>
      </c>
      <c r="K32" s="2"/>
    </row>
    <row r="33" spans="1:11">
      <c r="H33" s="2"/>
      <c r="J33" s="2"/>
      <c r="K33" s="2"/>
    </row>
    <row r="34" spans="1:11">
      <c r="A34" s="47" t="s">
        <v>306</v>
      </c>
      <c r="B34" s="57"/>
      <c r="H34" s="2"/>
      <c r="J34" s="2" t="s">
        <v>270</v>
      </c>
      <c r="K34" s="2" t="s">
        <v>229</v>
      </c>
    </row>
    <row r="35" spans="1:11">
      <c r="A35" s="52"/>
      <c r="B35" t="s">
        <v>16</v>
      </c>
      <c r="C35" s="4" t="s">
        <v>6</v>
      </c>
      <c r="D35" s="169">
        <f>Input!D26</f>
        <v>0</v>
      </c>
      <c r="E35" s="4" t="s">
        <v>7</v>
      </c>
      <c r="F35" s="170">
        <f>Input!F26</f>
        <v>0</v>
      </c>
      <c r="G35" s="2" t="s">
        <v>269</v>
      </c>
      <c r="H35" s="170">
        <f>Input!H26</f>
        <v>0</v>
      </c>
      <c r="I35" t="s">
        <v>271</v>
      </c>
      <c r="J35" s="2">
        <f>(F35*H35*D35)/2</f>
        <v>0</v>
      </c>
      <c r="K35" s="2">
        <f>(F35+2.3*H35)*D35</f>
        <v>0</v>
      </c>
    </row>
    <row r="36" spans="1:11">
      <c r="A36" s="52"/>
      <c r="B36" t="s">
        <v>17</v>
      </c>
      <c r="C36" s="4" t="s">
        <v>6</v>
      </c>
      <c r="D36" s="169">
        <f>Input!D27</f>
        <v>0</v>
      </c>
      <c r="E36" s="4" t="s">
        <v>7</v>
      </c>
      <c r="F36" s="170">
        <f>Input!F28</f>
        <v>0</v>
      </c>
      <c r="G36" s="2" t="s">
        <v>269</v>
      </c>
      <c r="H36" s="170">
        <f>Input!H27</f>
        <v>0</v>
      </c>
      <c r="I36" t="s">
        <v>582</v>
      </c>
      <c r="J36" s="2">
        <f>(0.5*F36*H36*D36)/2</f>
        <v>0</v>
      </c>
      <c r="K36" s="2">
        <f>(F36+2.3*H36)*D36</f>
        <v>0</v>
      </c>
    </row>
    <row r="37" spans="1:11">
      <c r="A37" s="52"/>
      <c r="B37" t="s">
        <v>18</v>
      </c>
      <c r="C37" s="4" t="s">
        <v>6</v>
      </c>
      <c r="D37" s="169">
        <f>Input!D28</f>
        <v>0</v>
      </c>
      <c r="E37" s="4" t="s">
        <v>7</v>
      </c>
      <c r="F37" s="170">
        <f>Input!F28</f>
        <v>0</v>
      </c>
      <c r="G37" s="2" t="s">
        <v>269</v>
      </c>
      <c r="H37" s="170">
        <f>Input!H28</f>
        <v>0</v>
      </c>
      <c r="I37" t="s">
        <v>583</v>
      </c>
      <c r="J37" s="2">
        <f>(0.5*F37*H37*D37)/2</f>
        <v>0</v>
      </c>
      <c r="K37" s="2">
        <f>(F37+2.3*H37)*D37</f>
        <v>0</v>
      </c>
    </row>
    <row r="38" spans="1:11">
      <c r="B38" s="16" t="s">
        <v>243</v>
      </c>
      <c r="C38" s="4" t="s">
        <v>6</v>
      </c>
      <c r="D38" s="58"/>
      <c r="E38" s="4" t="s">
        <v>7</v>
      </c>
      <c r="F38" s="59"/>
      <c r="G38" s="2" t="s">
        <v>269</v>
      </c>
      <c r="H38" s="59"/>
      <c r="J38" s="2">
        <f>(0.5*F38*H38*D38)/2</f>
        <v>0</v>
      </c>
      <c r="K38" s="2">
        <f>(F38+2.3*H38)*D38</f>
        <v>0</v>
      </c>
    </row>
    <row r="39" spans="1:11">
      <c r="A39" s="12"/>
      <c r="B39" s="16" t="s">
        <v>244</v>
      </c>
      <c r="C39" s="4" t="s">
        <v>6</v>
      </c>
      <c r="D39" s="58"/>
      <c r="E39" s="4" t="s">
        <v>7</v>
      </c>
      <c r="F39" s="59"/>
      <c r="G39" s="2" t="s">
        <v>269</v>
      </c>
      <c r="H39" s="59"/>
      <c r="J39" s="2">
        <f t="shared" ref="J39:J59" si="3">(0.5*F39*H39*D39)/2</f>
        <v>0</v>
      </c>
      <c r="K39" s="2">
        <f t="shared" ref="K39:K59" si="4">(F39+2.3*H39)*D39</f>
        <v>0</v>
      </c>
    </row>
    <row r="40" spans="1:11">
      <c r="A40" s="12"/>
      <c r="B40" s="16" t="s">
        <v>245</v>
      </c>
      <c r="C40" s="4" t="s">
        <v>6</v>
      </c>
      <c r="D40" s="58"/>
      <c r="E40" s="4" t="s">
        <v>7</v>
      </c>
      <c r="F40" s="59"/>
      <c r="G40" s="2" t="s">
        <v>269</v>
      </c>
      <c r="H40" s="59"/>
      <c r="J40" s="2">
        <f t="shared" si="3"/>
        <v>0</v>
      </c>
      <c r="K40" s="2">
        <f t="shared" si="4"/>
        <v>0</v>
      </c>
    </row>
    <row r="41" spans="1:11">
      <c r="B41" s="50" t="s">
        <v>246</v>
      </c>
      <c r="C41" s="4" t="s">
        <v>6</v>
      </c>
      <c r="D41" s="58"/>
      <c r="E41" s="4" t="s">
        <v>7</v>
      </c>
      <c r="F41" s="59"/>
      <c r="G41" s="2" t="s">
        <v>269</v>
      </c>
      <c r="H41" s="59"/>
      <c r="J41" s="2">
        <f t="shared" si="3"/>
        <v>0</v>
      </c>
      <c r="K41" s="2">
        <f t="shared" si="4"/>
        <v>0</v>
      </c>
    </row>
    <row r="42" spans="1:11">
      <c r="B42" s="50" t="s">
        <v>247</v>
      </c>
      <c r="C42" s="4" t="s">
        <v>6</v>
      </c>
      <c r="D42" s="58"/>
      <c r="E42" s="4" t="s">
        <v>7</v>
      </c>
      <c r="F42" s="59"/>
      <c r="G42" s="2" t="s">
        <v>269</v>
      </c>
      <c r="H42" s="59"/>
      <c r="J42" s="2">
        <f t="shared" si="3"/>
        <v>0</v>
      </c>
      <c r="K42" s="2">
        <f t="shared" si="4"/>
        <v>0</v>
      </c>
    </row>
    <row r="43" spans="1:11">
      <c r="B43" s="50" t="s">
        <v>248</v>
      </c>
      <c r="C43" s="4" t="s">
        <v>6</v>
      </c>
      <c r="D43" s="58"/>
      <c r="E43" s="4" t="s">
        <v>7</v>
      </c>
      <c r="F43" s="59"/>
      <c r="G43" s="2" t="s">
        <v>269</v>
      </c>
      <c r="H43" s="59"/>
      <c r="J43" s="2">
        <f t="shared" si="3"/>
        <v>0</v>
      </c>
      <c r="K43" s="2">
        <f t="shared" si="4"/>
        <v>0</v>
      </c>
    </row>
    <row r="44" spans="1:11">
      <c r="B44" s="50" t="s">
        <v>249</v>
      </c>
      <c r="C44" s="4" t="s">
        <v>6</v>
      </c>
      <c r="D44" s="58"/>
      <c r="E44" s="4" t="s">
        <v>7</v>
      </c>
      <c r="F44" s="59"/>
      <c r="G44" s="2" t="s">
        <v>269</v>
      </c>
      <c r="H44" s="59"/>
      <c r="J44" s="2">
        <f t="shared" si="3"/>
        <v>0</v>
      </c>
      <c r="K44" s="2">
        <f t="shared" si="4"/>
        <v>0</v>
      </c>
    </row>
    <row r="45" spans="1:11">
      <c r="B45" s="50" t="s">
        <v>250</v>
      </c>
      <c r="C45" s="4" t="s">
        <v>6</v>
      </c>
      <c r="D45" s="58"/>
      <c r="E45" s="4" t="s">
        <v>7</v>
      </c>
      <c r="F45" s="59"/>
      <c r="G45" s="2" t="s">
        <v>269</v>
      </c>
      <c r="H45" s="59"/>
      <c r="J45" s="2">
        <f t="shared" si="3"/>
        <v>0</v>
      </c>
      <c r="K45" s="2">
        <f t="shared" si="4"/>
        <v>0</v>
      </c>
    </row>
    <row r="46" spans="1:11">
      <c r="B46" s="50" t="s">
        <v>251</v>
      </c>
      <c r="C46" s="4" t="s">
        <v>6</v>
      </c>
      <c r="D46" s="58"/>
      <c r="E46" s="4" t="s">
        <v>7</v>
      </c>
      <c r="F46" s="59"/>
      <c r="G46" s="2" t="s">
        <v>269</v>
      </c>
      <c r="H46" s="59"/>
      <c r="J46" s="2">
        <f t="shared" si="3"/>
        <v>0</v>
      </c>
      <c r="K46" s="2">
        <f t="shared" si="4"/>
        <v>0</v>
      </c>
    </row>
    <row r="47" spans="1:11">
      <c r="B47" s="50" t="s">
        <v>252</v>
      </c>
      <c r="C47" s="4" t="s">
        <v>6</v>
      </c>
      <c r="D47" s="58"/>
      <c r="E47" s="4" t="s">
        <v>7</v>
      </c>
      <c r="F47" s="59"/>
      <c r="G47" s="2" t="s">
        <v>269</v>
      </c>
      <c r="H47" s="59"/>
      <c r="J47" s="2">
        <f t="shared" si="3"/>
        <v>0</v>
      </c>
      <c r="K47" s="2">
        <f t="shared" si="4"/>
        <v>0</v>
      </c>
    </row>
    <row r="48" spans="1:11">
      <c r="B48" s="50" t="s">
        <v>253</v>
      </c>
      <c r="C48" s="4" t="s">
        <v>6</v>
      </c>
      <c r="D48" s="58"/>
      <c r="E48" s="4" t="s">
        <v>7</v>
      </c>
      <c r="F48" s="59"/>
      <c r="G48" s="2" t="s">
        <v>269</v>
      </c>
      <c r="H48" s="59"/>
      <c r="J48" s="2">
        <f t="shared" si="3"/>
        <v>0</v>
      </c>
      <c r="K48" s="2">
        <f t="shared" si="4"/>
        <v>0</v>
      </c>
    </row>
    <row r="49" spans="2:11">
      <c r="B49" s="50" t="s">
        <v>254</v>
      </c>
      <c r="C49" s="4" t="s">
        <v>6</v>
      </c>
      <c r="D49" s="58"/>
      <c r="E49" s="4" t="s">
        <v>7</v>
      </c>
      <c r="F49" s="59"/>
      <c r="G49" s="2" t="s">
        <v>269</v>
      </c>
      <c r="H49" s="59"/>
      <c r="J49" s="2">
        <f t="shared" si="3"/>
        <v>0</v>
      </c>
      <c r="K49" s="2">
        <f t="shared" si="4"/>
        <v>0</v>
      </c>
    </row>
    <row r="50" spans="2:11">
      <c r="B50" s="50" t="s">
        <v>255</v>
      </c>
      <c r="C50" s="4" t="s">
        <v>6</v>
      </c>
      <c r="D50" s="58"/>
      <c r="E50" s="4" t="s">
        <v>7</v>
      </c>
      <c r="F50" s="59"/>
      <c r="G50" s="2" t="s">
        <v>269</v>
      </c>
      <c r="H50" s="59"/>
      <c r="J50" s="2">
        <f t="shared" si="3"/>
        <v>0</v>
      </c>
      <c r="K50" s="2">
        <f t="shared" si="4"/>
        <v>0</v>
      </c>
    </row>
    <row r="51" spans="2:11">
      <c r="B51" s="50" t="s">
        <v>256</v>
      </c>
      <c r="C51" s="4" t="s">
        <v>6</v>
      </c>
      <c r="D51" s="58"/>
      <c r="E51" s="4" t="s">
        <v>7</v>
      </c>
      <c r="F51" s="59"/>
      <c r="G51" s="2" t="s">
        <v>269</v>
      </c>
      <c r="H51" s="59"/>
      <c r="J51" s="2">
        <f t="shared" si="3"/>
        <v>0</v>
      </c>
      <c r="K51" s="2">
        <f t="shared" si="4"/>
        <v>0</v>
      </c>
    </row>
    <row r="52" spans="2:11">
      <c r="B52" s="50" t="s">
        <v>257</v>
      </c>
      <c r="C52" s="4" t="s">
        <v>6</v>
      </c>
      <c r="D52" s="58"/>
      <c r="E52" s="4" t="s">
        <v>7</v>
      </c>
      <c r="F52" s="59"/>
      <c r="G52" s="2" t="s">
        <v>269</v>
      </c>
      <c r="H52" s="59"/>
      <c r="J52" s="2">
        <f t="shared" si="3"/>
        <v>0</v>
      </c>
      <c r="K52" s="2">
        <f t="shared" si="4"/>
        <v>0</v>
      </c>
    </row>
    <row r="53" spans="2:11">
      <c r="B53" s="50" t="s">
        <v>258</v>
      </c>
      <c r="C53" s="4" t="s">
        <v>6</v>
      </c>
      <c r="D53" s="58"/>
      <c r="E53" s="4" t="s">
        <v>7</v>
      </c>
      <c r="F53" s="59"/>
      <c r="G53" s="2" t="s">
        <v>269</v>
      </c>
      <c r="H53" s="59"/>
      <c r="J53" s="2">
        <f t="shared" si="3"/>
        <v>0</v>
      </c>
      <c r="K53" s="2">
        <f t="shared" si="4"/>
        <v>0</v>
      </c>
    </row>
    <row r="54" spans="2:11">
      <c r="B54" s="50" t="s">
        <v>259</v>
      </c>
      <c r="C54" s="4" t="s">
        <v>6</v>
      </c>
      <c r="D54" s="58"/>
      <c r="E54" s="4" t="s">
        <v>7</v>
      </c>
      <c r="F54" s="59"/>
      <c r="G54" s="2" t="s">
        <v>269</v>
      </c>
      <c r="H54" s="59"/>
      <c r="J54" s="2">
        <f t="shared" si="3"/>
        <v>0</v>
      </c>
      <c r="K54" s="2">
        <f t="shared" si="4"/>
        <v>0</v>
      </c>
    </row>
    <row r="55" spans="2:11">
      <c r="B55" s="50" t="s">
        <v>260</v>
      </c>
      <c r="C55" s="4" t="s">
        <v>6</v>
      </c>
      <c r="D55" s="58"/>
      <c r="E55" s="4" t="s">
        <v>7</v>
      </c>
      <c r="F55" s="59"/>
      <c r="G55" s="2" t="s">
        <v>269</v>
      </c>
      <c r="H55" s="59"/>
      <c r="J55" s="2">
        <f t="shared" si="3"/>
        <v>0</v>
      </c>
      <c r="K55" s="2">
        <f t="shared" si="4"/>
        <v>0</v>
      </c>
    </row>
    <row r="56" spans="2:11">
      <c r="B56" s="50" t="s">
        <v>261</v>
      </c>
      <c r="C56" s="4" t="s">
        <v>6</v>
      </c>
      <c r="D56" s="58"/>
      <c r="E56" s="4" t="s">
        <v>7</v>
      </c>
      <c r="F56" s="59"/>
      <c r="G56" s="2" t="s">
        <v>269</v>
      </c>
      <c r="H56" s="59"/>
      <c r="J56" s="2">
        <f t="shared" si="3"/>
        <v>0</v>
      </c>
      <c r="K56" s="2">
        <f t="shared" si="4"/>
        <v>0</v>
      </c>
    </row>
    <row r="57" spans="2:11">
      <c r="B57" s="50" t="s">
        <v>262</v>
      </c>
      <c r="C57" s="4" t="s">
        <v>6</v>
      </c>
      <c r="D57" s="58"/>
      <c r="E57" s="4" t="s">
        <v>7</v>
      </c>
      <c r="F57" s="59"/>
      <c r="G57" s="2" t="s">
        <v>269</v>
      </c>
      <c r="H57" s="59"/>
      <c r="J57" s="2">
        <f t="shared" si="3"/>
        <v>0</v>
      </c>
      <c r="K57" s="2">
        <f t="shared" si="4"/>
        <v>0</v>
      </c>
    </row>
    <row r="58" spans="2:11">
      <c r="B58" s="50" t="s">
        <v>263</v>
      </c>
      <c r="C58" s="4" t="s">
        <v>6</v>
      </c>
      <c r="D58" s="58"/>
      <c r="E58" s="4" t="s">
        <v>7</v>
      </c>
      <c r="F58" s="59"/>
      <c r="G58" s="2" t="s">
        <v>269</v>
      </c>
      <c r="H58" s="59"/>
      <c r="J58" s="2">
        <f t="shared" si="3"/>
        <v>0</v>
      </c>
      <c r="K58" s="2">
        <f t="shared" si="4"/>
        <v>0</v>
      </c>
    </row>
    <row r="59" spans="2:11">
      <c r="B59" s="50" t="s">
        <v>264</v>
      </c>
      <c r="C59" s="4" t="s">
        <v>6</v>
      </c>
      <c r="D59" s="58"/>
      <c r="E59" s="4" t="s">
        <v>7</v>
      </c>
      <c r="F59" s="59"/>
      <c r="G59" s="2" t="s">
        <v>269</v>
      </c>
      <c r="H59" s="59"/>
      <c r="J59" s="2">
        <f t="shared" si="3"/>
        <v>0</v>
      </c>
      <c r="K59" s="2">
        <f t="shared" si="4"/>
        <v>0</v>
      </c>
    </row>
    <row r="60" spans="2:11">
      <c r="I60" s="2" t="s">
        <v>223</v>
      </c>
      <c r="J60" s="2">
        <f>SUM(J35:J59)</f>
        <v>0</v>
      </c>
      <c r="K60" s="2">
        <f>SUM(K35:K59)</f>
        <v>0</v>
      </c>
    </row>
  </sheetData>
  <sheetProtection password="CD94" sheet="1" objects="1" scenarios="1" selectLockedCells="1"/>
  <phoneticPr fontId="12" type="noConversion"/>
  <pageMargins left="0.75" right="0.75" top="1" bottom="1" header="0.5" footer="0.5"/>
  <pageSetup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Input</vt:lpstr>
      <vt:lpstr>Calculations</vt:lpstr>
      <vt:lpstr>Continuation</vt:lpstr>
      <vt:lpstr>Calculations!Print_Area</vt:lpstr>
      <vt:lpstr>Input!Print_Area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Brost</dc:creator>
  <cp:lastModifiedBy>Carlyle</cp:lastModifiedBy>
  <cp:lastPrinted>2012-01-04T23:24:14Z</cp:lastPrinted>
  <dcterms:created xsi:type="dcterms:W3CDTF">2003-01-23T16:45:33Z</dcterms:created>
  <dcterms:modified xsi:type="dcterms:W3CDTF">2012-09-30T19:58:05Z</dcterms:modified>
</cp:coreProperties>
</file>